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5.xml" ContentType="application/vnd.openxmlformats-officedocument.spreadsheetml.worksheet+xml"/>
  <Override PartName="/xl/drawings/drawing3.xml" ContentType="application/vnd.openxmlformats-officedocument.drawing+xml"/>
  <Override PartName="/docProps/core.xml" ContentType="application/vnd.openxmlformats-package.core-properties+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docProps/app.xml" ContentType="application/vnd.openxmlformats-officedocument.extended-properties+xml"/>
  <Override PartName="/xl/comments3.xml" ContentType="application/vnd.openxmlformats-officedocument.spreadsheetml.comment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TORK_PC\Geerthenk.wijnants\Stork\Projecten\WCM_CUI\RB_CUI_Management\"/>
    </mc:Choice>
  </mc:AlternateContent>
  <bookViews>
    <workbookView xWindow="0" yWindow="0" windowWidth="19200" windowHeight="8310" tabRatio="727"/>
  </bookViews>
  <sheets>
    <sheet name="Toelichting" sheetId="2" r:id="rId1"/>
    <sheet name="Installatie" sheetId="1" r:id="rId2"/>
    <sheet name="Weergave" sheetId="13" r:id="rId3"/>
    <sheet name="NEN-EN 16991" sheetId="4" r:id="rId4"/>
    <sheet name="Instellingen" sheetId="14" r:id="rId5"/>
  </sheets>
  <definedNames>
    <definedName name="CoatRefLT">Instellingen!$X$36</definedName>
    <definedName name="CorrRVS">Instellingen!$S$34:$T$34</definedName>
    <definedName name="CorrTempBounds">Instellingen!$T$23:$Z$23</definedName>
    <definedName name="DroogNatWissel">Instellingen!$S$24:$S$26</definedName>
    <definedName name="ExpCorrDam">Instellingen!$V$12:$V$16</definedName>
    <definedName name="IsolatieMateriaal">Instellingen!$T$3:$T$9</definedName>
    <definedName name="KleurJN">Installatie!$G$1</definedName>
    <definedName name="LimitsMOTBF">'NEN-EN 16991'!$AB$2:$AF$2</definedName>
    <definedName name="NatDroogRiskMatrix">Instellingen!$T$24:$Z$26</definedName>
    <definedName name="NDT_Techn" comment="Lijst van momenteel toegepaste NDO technieken.">Instellingen!$O$3:$O$13</definedName>
    <definedName name="NDTEff">Instellingen!$P$16:$R$20</definedName>
    <definedName name="NDTEffRatings">Instellingen!$C$15:$M$20</definedName>
    <definedName name="_xlnm.Print_Area" localSheetId="0">Toelichting!$C$4:$F$39</definedName>
    <definedName name="Risk_MOTBF">'NEN-EN 16991'!$AB$3:$AF$7</definedName>
    <definedName name="TblIsolStimuFact">Instellingen!$T$3:$U$9</definedName>
    <definedName name="TempRVS">Instellingen!$S$33:$T$33</definedName>
    <definedName name="TSA_LTE">Instellingen!$Z$36</definedName>
    <definedName name="Typicals">Instellingen!$B$15:$B$20</definedName>
    <definedName name="ZoutRisico">Instellingen!$R$29:$R$31</definedName>
    <definedName name="ZoutRiskMatrix">Instellingen!$T$29:$Z$31</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4" i="1" l="1"/>
  <c r="X4" i="1"/>
  <c r="AF4" i="1"/>
  <c r="W5" i="1"/>
  <c r="X5" i="1"/>
  <c r="AF5" i="1"/>
  <c r="W6" i="1"/>
  <c r="X6" i="1"/>
  <c r="AF6" i="1"/>
  <c r="W7" i="1"/>
  <c r="X7" i="1"/>
  <c r="AF7" i="1"/>
  <c r="W8" i="1"/>
  <c r="X8" i="1"/>
  <c r="AF8" i="1"/>
  <c r="W9" i="1"/>
  <c r="X9" i="1"/>
  <c r="AF9" i="1"/>
  <c r="W10" i="1"/>
  <c r="X10" i="1"/>
  <c r="AF10" i="1"/>
  <c r="W11" i="1"/>
  <c r="X11" i="1"/>
  <c r="AF11" i="1"/>
  <c r="AK4" i="1"/>
  <c r="AL4" i="1"/>
  <c r="AK5" i="1"/>
  <c r="AL5" i="1"/>
  <c r="N6" i="1"/>
  <c r="AK6" i="1"/>
  <c r="AL6" i="1"/>
  <c r="AK7" i="1"/>
  <c r="AL7" i="1"/>
  <c r="N8" i="1"/>
  <c r="AK8" i="1"/>
  <c r="AL8" i="1"/>
  <c r="AK9" i="1"/>
  <c r="AL9" i="1"/>
  <c r="AK10" i="1"/>
  <c r="AL10" i="1"/>
  <c r="AJ11" i="1"/>
  <c r="AK11" i="1"/>
  <c r="AL11" i="1"/>
  <c r="AG4" i="1"/>
  <c r="AG5" i="1"/>
  <c r="AG6" i="1"/>
  <c r="AG7" i="1"/>
  <c r="AG8" i="1"/>
  <c r="AG9" i="1"/>
  <c r="AG10" i="1"/>
  <c r="AG11" i="1"/>
  <c r="N4" i="1"/>
  <c r="N5" i="1"/>
  <c r="N7" i="1"/>
  <c r="N9" i="1"/>
  <c r="N10" i="1"/>
  <c r="N11" i="1"/>
  <c r="Z36" i="14"/>
  <c r="AO4" i="1"/>
  <c r="AP4" i="1"/>
  <c r="AO5" i="1"/>
  <c r="AP5" i="1"/>
  <c r="AO6" i="1"/>
  <c r="AP6" i="1"/>
  <c r="AO7" i="1"/>
  <c r="AP7" i="1"/>
  <c r="AO8" i="1"/>
  <c r="AP8" i="1"/>
  <c r="AO9" i="1"/>
  <c r="AP9" i="1"/>
  <c r="AJ10" i="1"/>
  <c r="AO10" i="1"/>
  <c r="AP10" i="1"/>
  <c r="AN11" i="1"/>
  <c r="AO11" i="1"/>
  <c r="AP11" i="1"/>
  <c r="AN4" i="1"/>
  <c r="AN5" i="1"/>
  <c r="AN6" i="1"/>
  <c r="AN7" i="1"/>
  <c r="AN8" i="1"/>
  <c r="AN9" i="1"/>
  <c r="AN10" i="1"/>
  <c r="AJ4" i="1"/>
  <c r="AJ5" i="1"/>
  <c r="AJ6" i="1"/>
  <c r="AJ7" i="1"/>
  <c r="AJ8" i="1"/>
  <c r="AJ9" i="1"/>
  <c r="O4" i="14"/>
  <c r="O5" i="14"/>
  <c r="O6" i="14"/>
  <c r="O7" i="14"/>
  <c r="O8" i="14"/>
  <c r="O9" i="14"/>
  <c r="O10" i="14"/>
  <c r="O11" i="14"/>
  <c r="O12" i="14"/>
  <c r="O13" i="14"/>
  <c r="O3" i="14"/>
  <c r="BI15" i="13"/>
  <c r="BI16" i="13"/>
  <c r="BI17" i="13"/>
  <c r="BI18" i="13"/>
  <c r="BI19" i="13"/>
  <c r="BI20" i="13"/>
  <c r="BI21" i="13"/>
  <c r="BI22" i="13"/>
  <c r="BI23" i="13"/>
  <c r="BI24" i="13"/>
  <c r="BI25" i="13"/>
  <c r="BI26" i="13"/>
  <c r="BI27" i="13"/>
  <c r="BI28" i="13"/>
  <c r="BI29" i="13"/>
  <c r="BI30" i="13"/>
  <c r="BI31" i="13"/>
  <c r="BI32" i="13"/>
  <c r="BI33" i="13"/>
  <c r="BI34" i="13"/>
  <c r="BI35" i="13"/>
  <c r="BI36" i="13"/>
  <c r="BI37" i="13"/>
  <c r="BI38" i="13"/>
  <c r="BI39" i="13"/>
  <c r="BI40" i="13"/>
  <c r="BI41" i="13"/>
  <c r="BI42" i="13"/>
  <c r="BI43" i="13"/>
  <c r="BI44" i="13"/>
  <c r="BI45" i="13"/>
  <c r="BI46" i="13"/>
  <c r="BI14" i="13"/>
  <c r="AF7" i="4"/>
  <c r="AE7" i="4"/>
  <c r="AD7" i="4"/>
  <c r="AC7" i="4"/>
  <c r="AB7" i="4"/>
  <c r="AF6" i="4"/>
  <c r="AE6" i="4"/>
  <c r="AD6" i="4"/>
  <c r="AC6" i="4"/>
  <c r="AB6" i="4"/>
  <c r="P2" i="4"/>
  <c r="V2" i="4"/>
  <c r="AB2" i="4"/>
  <c r="AF5" i="4"/>
  <c r="AF4" i="4"/>
  <c r="AF3" i="4"/>
  <c r="AE5" i="4"/>
  <c r="AE4" i="4"/>
  <c r="AE3" i="4"/>
  <c r="AB5" i="4"/>
  <c r="AB4" i="4"/>
  <c r="AB3" i="4"/>
  <c r="AD5" i="4"/>
  <c r="AD4" i="4"/>
  <c r="AD3" i="4"/>
  <c r="AC5" i="4"/>
  <c r="AC4" i="4"/>
  <c r="AC3" i="4"/>
  <c r="Z7" i="4"/>
  <c r="Z6" i="4"/>
  <c r="Z5" i="4"/>
  <c r="Z4" i="4"/>
  <c r="Z3" i="4"/>
  <c r="Y7" i="4"/>
  <c r="Y6" i="4"/>
  <c r="Y5" i="4"/>
  <c r="Y4" i="4"/>
  <c r="Y3" i="4"/>
  <c r="X7" i="4"/>
  <c r="X6" i="4"/>
  <c r="X5" i="4"/>
  <c r="X4" i="4"/>
  <c r="X3" i="4"/>
  <c r="W7" i="4"/>
  <c r="W6" i="4"/>
  <c r="W5" i="4"/>
  <c r="W4" i="4"/>
  <c r="W3" i="4"/>
  <c r="V6" i="4"/>
  <c r="V7" i="4"/>
  <c r="V5" i="4"/>
  <c r="V4" i="4"/>
  <c r="V3" i="4"/>
  <c r="P3" i="4"/>
  <c r="T7" i="4"/>
  <c r="T6" i="4"/>
  <c r="T5" i="4"/>
  <c r="T4" i="4"/>
  <c r="T3" i="4"/>
  <c r="S7" i="4"/>
  <c r="S6" i="4"/>
  <c r="S5" i="4"/>
  <c r="S4" i="4"/>
  <c r="S3" i="4"/>
  <c r="R7" i="4"/>
  <c r="R6" i="4"/>
  <c r="R5" i="4"/>
  <c r="R4" i="4"/>
  <c r="R3" i="4"/>
  <c r="Q7" i="4"/>
  <c r="Q6" i="4"/>
  <c r="Q5" i="4"/>
  <c r="Q4" i="4"/>
  <c r="Q3" i="4"/>
  <c r="P7" i="4"/>
  <c r="P6" i="4"/>
  <c r="P5" i="4"/>
  <c r="P4" i="4"/>
  <c r="E7" i="4"/>
  <c r="E6" i="4"/>
  <c r="E5" i="4"/>
</calcChain>
</file>

<file path=xl/comments1.xml><?xml version="1.0" encoding="utf-8"?>
<comments xmlns="http://schemas.openxmlformats.org/spreadsheetml/2006/main">
  <authors>
    <author>Geert Henk Wijnants</author>
  </authors>
  <commentList>
    <comment ref="N3" authorId="0" shapeId="0">
      <text>
        <r>
          <rPr>
            <b/>
            <sz val="9"/>
            <color indexed="81"/>
            <rFont val="Tahoma"/>
            <family val="2"/>
          </rPr>
          <t>Toelichting:</t>
        </r>
        <r>
          <rPr>
            <sz val="9"/>
            <color indexed="81"/>
            <rFont val="Tahoma"/>
            <family val="2"/>
          </rPr>
          <t xml:space="preserve">
Wanneer géén gegevens aanwezig zijn, wordt uitgegaan van de meest ongunstige situatie.
Dit om in geval van onvolledige informatie, toch verder te kunnen gaan.</t>
        </r>
      </text>
    </comment>
  </commentList>
</comments>
</file>

<file path=xl/comments2.xml><?xml version="1.0" encoding="utf-8"?>
<comments xmlns="http://schemas.openxmlformats.org/spreadsheetml/2006/main">
  <authors>
    <author>Geert Henk Wijnants</author>
  </authors>
  <commentList>
    <comment ref="P3" authorId="0" shapeId="0">
      <text>
        <r>
          <rPr>
            <b/>
            <sz val="9"/>
            <color indexed="81"/>
            <rFont val="Tahoma"/>
            <family val="2"/>
          </rPr>
          <t>Geert Henk Wijnants:</t>
        </r>
        <r>
          <rPr>
            <sz val="9"/>
            <color indexed="81"/>
            <rFont val="Tahoma"/>
            <family val="2"/>
          </rPr>
          <t xml:space="preserve">
Hier een stap van 10 genomen voor de POF, nét zoals de stappen in POF van 4 naar 3 etc.</t>
        </r>
      </text>
    </comment>
    <comment ref="Z3" authorId="0" shapeId="0">
      <text>
        <r>
          <rPr>
            <b/>
            <sz val="9"/>
            <color indexed="81"/>
            <rFont val="Tahoma"/>
            <family val="2"/>
          </rPr>
          <t>Geert Henk Wijnants:</t>
        </r>
        <r>
          <rPr>
            <sz val="9"/>
            <color indexed="81"/>
            <rFont val="Tahoma"/>
            <family val="2"/>
          </rPr>
          <t xml:space="preserve">
Hier 10 keer zo grote waarde genomen, net zoals in de stappen van A-D.</t>
        </r>
      </text>
    </comment>
    <comment ref="AB7" authorId="0" shapeId="0">
      <text>
        <r>
          <rPr>
            <b/>
            <sz val="9"/>
            <color indexed="81"/>
            <rFont val="Tahoma"/>
            <family val="2"/>
          </rPr>
          <t>Berekening:</t>
        </r>
        <r>
          <rPr>
            <sz val="9"/>
            <color indexed="81"/>
            <rFont val="Tahoma"/>
            <family val="2"/>
          </rPr>
          <t xml:space="preserve">
In de noemer staat de gemiddelde stapgrootte waarmee de volgende gemiddelde kanscategorie is toegenomen tov de vorige.</t>
        </r>
      </text>
    </comment>
  </commentList>
</comments>
</file>

<file path=xl/comments3.xml><?xml version="1.0" encoding="utf-8"?>
<comments xmlns="http://schemas.openxmlformats.org/spreadsheetml/2006/main">
  <authors>
    <author>Geert Henk Wijnants</author>
  </authors>
  <commentList>
    <comment ref="C3" authorId="0" shapeId="0">
      <text>
        <r>
          <rPr>
            <b/>
            <sz val="9"/>
            <color indexed="81"/>
            <rFont val="Tahoma"/>
            <family val="2"/>
          </rPr>
          <t>Wijziging:</t>
        </r>
        <r>
          <rPr>
            <sz val="9"/>
            <color indexed="81"/>
            <rFont val="Tahoma"/>
            <family val="2"/>
          </rPr>
          <t xml:space="preserve">
"met of zonder" is gewijzigd naar "met".</t>
        </r>
      </text>
    </comment>
    <comment ref="R29" authorId="0" shapeId="0">
      <text>
        <r>
          <rPr>
            <b/>
            <sz val="9"/>
            <color indexed="81"/>
            <rFont val="Tahoma"/>
            <family val="2"/>
          </rPr>
          <t>Klasse C1 &amp; C2, belasting "Zeer laag" en "Laag":</t>
        </r>
        <r>
          <rPr>
            <sz val="9"/>
            <color indexed="81"/>
            <rFont val="Tahoma"/>
            <family val="2"/>
          </rPr>
          <t xml:space="preserve">
C1: Verwarmde gebouwen met schone atmosfeer, als kantoren, scholen enz.
C2: Atmosfeer met Iaag milieuvervuilingsniveau, Iandelijk gebied.</t>
        </r>
      </text>
    </comment>
    <comment ref="R30" authorId="0" shapeId="0">
      <text>
        <r>
          <rPr>
            <b/>
            <sz val="9"/>
            <color indexed="81"/>
            <rFont val="Tahoma"/>
            <family val="2"/>
          </rPr>
          <t>Klasse C3, belasting "gematigd":</t>
        </r>
        <r>
          <rPr>
            <sz val="9"/>
            <color indexed="81"/>
            <rFont val="Tahoma"/>
            <family val="2"/>
          </rPr>
          <t xml:space="preserve">
</t>
        </r>
        <r>
          <rPr>
            <u/>
            <sz val="9"/>
            <color indexed="81"/>
            <rFont val="Tahoma"/>
            <family val="2"/>
          </rPr>
          <t>Buiten:</t>
        </r>
        <r>
          <rPr>
            <sz val="9"/>
            <color indexed="81"/>
            <rFont val="Tahoma"/>
            <family val="2"/>
          </rPr>
          <t xml:space="preserve"> Stedelijke en industriële atmosferen, gematigde zwaveldioxide vervuiling.
Kust gebieden met een Iaag zoutgehalte.
</t>
        </r>
        <r>
          <rPr>
            <u/>
            <sz val="9"/>
            <color indexed="81"/>
            <rFont val="Tahoma"/>
            <family val="2"/>
          </rPr>
          <t>Binnen:</t>
        </r>
        <r>
          <rPr>
            <sz val="9"/>
            <color indexed="81"/>
            <rFont val="Tahoma"/>
            <family val="2"/>
          </rPr>
          <t xml:space="preserve"> productiehallen met hoge Iuchtvochtigheid en enige Iuchtvervuiling.</t>
        </r>
      </text>
    </comment>
    <comment ref="R31" authorId="0" shapeId="0">
      <text>
        <r>
          <rPr>
            <b/>
            <sz val="9"/>
            <color indexed="81"/>
            <rFont val="Tahoma"/>
            <family val="2"/>
          </rPr>
          <t>Klasse C4 en zwaarder ("hoog" en daarboven):</t>
        </r>
        <r>
          <rPr>
            <sz val="9"/>
            <color indexed="81"/>
            <rFont val="Tahoma"/>
            <family val="2"/>
          </rPr>
          <t xml:space="preserve">
C4: Sterk corrosief, geldt voor alle niet geïsoIeerde objecten.
</t>
        </r>
        <r>
          <rPr>
            <u/>
            <sz val="9"/>
            <color indexed="81"/>
            <rFont val="Tahoma"/>
            <family val="2"/>
          </rPr>
          <t>Buiten:</t>
        </r>
        <r>
          <rPr>
            <sz val="9"/>
            <color indexed="81"/>
            <rFont val="Tahoma"/>
            <family val="2"/>
          </rPr>
          <t xml:space="preserve"> lndustriële en kustgebieden met gematigd zoutklimaat.
</t>
        </r>
        <r>
          <rPr>
            <u/>
            <sz val="9"/>
            <color indexed="81"/>
            <rFont val="Tahoma"/>
            <family val="2"/>
          </rPr>
          <t>Binnen:</t>
        </r>
        <r>
          <rPr>
            <sz val="9"/>
            <color indexed="81"/>
            <rFont val="Tahoma"/>
            <family val="2"/>
          </rPr>
          <t xml:space="preserve"> Chemische fabrieken en zwembaden.</t>
        </r>
      </text>
    </comment>
    <comment ref="T40" authorId="0" shapeId="0">
      <text>
        <r>
          <rPr>
            <b/>
            <sz val="9"/>
            <color indexed="81"/>
            <rFont val="Tahoma"/>
            <family val="2"/>
          </rPr>
          <t>Updatea 28 Mar 20:</t>
        </r>
        <r>
          <rPr>
            <sz val="9"/>
            <color indexed="81"/>
            <rFont val="Tahoma"/>
            <family val="2"/>
          </rPr>
          <t xml:space="preserve">
Gewijzigd van 0,1 =&gt; 0,3</t>
        </r>
      </text>
    </comment>
  </commentList>
</comments>
</file>

<file path=xl/sharedStrings.xml><?xml version="1.0" encoding="utf-8"?>
<sst xmlns="http://schemas.openxmlformats.org/spreadsheetml/2006/main" count="588" uniqueCount="393">
  <si>
    <t xml:space="preserve">
</t>
  </si>
  <si>
    <t>Installatie:</t>
  </si>
  <si>
    <t>Unit:</t>
  </si>
  <si>
    <t>Component:</t>
  </si>
  <si>
    <t>Materiaal:</t>
  </si>
  <si>
    <t>Isolatie:</t>
  </si>
  <si>
    <t>Conditie:</t>
  </si>
  <si>
    <t>In gebruik sinds:</t>
  </si>
  <si>
    <t>Procesvoering:</t>
  </si>
  <si>
    <t>Proces type:</t>
  </si>
  <si>
    <t>Gas</t>
  </si>
  <si>
    <t>Vloeistof</t>
  </si>
  <si>
    <t>Opties:</t>
  </si>
  <si>
    <t>Warmte</t>
  </si>
  <si>
    <t>Weersinvloeden:</t>
  </si>
  <si>
    <t>Binnen-vochtig</t>
  </si>
  <si>
    <t>Mate van inlek:</t>
  </si>
  <si>
    <t xml:space="preserve">Risk matrix; Table 3; NEN-EN 16991; </t>
  </si>
  <si>
    <t>MOTBF</t>
  </si>
  <si>
    <t>PoF annual</t>
  </si>
  <si>
    <t>Qualitative</t>
  </si>
  <si>
    <t>Description:</t>
  </si>
  <si>
    <t>Cat.</t>
  </si>
  <si>
    <t>&lt; 1 Year</t>
  </si>
  <si>
    <t>1-5 Years</t>
  </si>
  <si>
    <t>5-25 years</t>
  </si>
  <si>
    <t>PoF_U_Limit</t>
  </si>
  <si>
    <r>
      <t>&gt; 10</t>
    </r>
    <r>
      <rPr>
        <vertAlign val="superscript"/>
        <sz val="10"/>
        <color theme="1"/>
        <rFont val="Trebuchet MS"/>
        <family val="2"/>
      </rPr>
      <t>-2</t>
    </r>
  </si>
  <si>
    <r>
      <t>10</t>
    </r>
    <r>
      <rPr>
        <vertAlign val="superscript"/>
        <sz val="10"/>
        <color theme="1"/>
        <rFont val="Trebuchet MS"/>
        <family val="2"/>
      </rPr>
      <t>-3</t>
    </r>
    <r>
      <rPr>
        <sz val="10"/>
        <color theme="1"/>
        <rFont val="Trebuchet MS"/>
        <family val="2"/>
      </rPr>
      <t xml:space="preserve"> to 10</t>
    </r>
    <r>
      <rPr>
        <vertAlign val="superscript"/>
        <sz val="10"/>
        <color theme="1"/>
        <rFont val="Trebuchet MS"/>
        <family val="2"/>
      </rPr>
      <t>-2</t>
    </r>
  </si>
  <si>
    <r>
      <t>10</t>
    </r>
    <r>
      <rPr>
        <vertAlign val="superscript"/>
        <sz val="10"/>
        <color theme="1"/>
        <rFont val="Trebuchet MS"/>
        <family val="2"/>
      </rPr>
      <t>-4</t>
    </r>
    <r>
      <rPr>
        <sz val="10"/>
        <color theme="1"/>
        <rFont val="Trebuchet MS"/>
        <family val="2"/>
      </rPr>
      <t xml:space="preserve"> to 10</t>
    </r>
    <r>
      <rPr>
        <vertAlign val="superscript"/>
        <sz val="10"/>
        <color theme="1"/>
        <rFont val="Trebuchet MS"/>
        <family val="2"/>
      </rPr>
      <t>-3</t>
    </r>
  </si>
  <si>
    <r>
      <t>10</t>
    </r>
    <r>
      <rPr>
        <vertAlign val="superscript"/>
        <sz val="10"/>
        <color theme="1"/>
        <rFont val="Trebuchet MS"/>
        <family val="2"/>
      </rPr>
      <t>-5</t>
    </r>
    <r>
      <rPr>
        <sz val="10"/>
        <color theme="1"/>
        <rFont val="Trebuchet MS"/>
        <family val="2"/>
      </rPr>
      <t xml:space="preserve"> to 10</t>
    </r>
    <r>
      <rPr>
        <vertAlign val="superscript"/>
        <sz val="10"/>
        <color theme="1"/>
        <rFont val="Trebuchet MS"/>
        <family val="2"/>
      </rPr>
      <t>-4</t>
    </r>
  </si>
  <si>
    <r>
      <t>&lt; 10</t>
    </r>
    <r>
      <rPr>
        <vertAlign val="superscript"/>
        <sz val="10"/>
        <color theme="1"/>
        <rFont val="Trebuchet MS"/>
        <family val="2"/>
      </rPr>
      <t>-5</t>
    </r>
  </si>
  <si>
    <t>Very probable</t>
  </si>
  <si>
    <t>Probable</t>
  </si>
  <si>
    <t>Possible</t>
  </si>
  <si>
    <t>Unlikely</t>
  </si>
  <si>
    <t>Very unlikely</t>
  </si>
  <si>
    <t>Probability of Failure / Likelyhood</t>
  </si>
  <si>
    <t>Notes:</t>
  </si>
  <si>
    <t>*  Small population = 20 to 50 items of equipment</t>
  </si>
  <si>
    <t>**  Large population = More than 50 items of equipment</t>
  </si>
  <si>
    <t>Consequence of Failure / Likelyhood</t>
  </si>
  <si>
    <t>A</t>
  </si>
  <si>
    <t>B</t>
  </si>
  <si>
    <t>C</t>
  </si>
  <si>
    <t>D</t>
  </si>
  <si>
    <t>E</t>
  </si>
  <si>
    <t>Health</t>
  </si>
  <si>
    <t>Safety</t>
  </si>
  <si>
    <t>Warning issued.
No effect.</t>
  </si>
  <si>
    <t>Warning issued.
Possible impact.</t>
  </si>
  <si>
    <t>Temporary health problems,
curable</t>
  </si>
  <si>
    <t>Limited impact on public health, threat of chronic diseases</t>
  </si>
  <si>
    <t>Serious impact on public health, life threatening illness</t>
  </si>
  <si>
    <t>No aid needed.
Work disruption.</t>
  </si>
  <si>
    <t>First aid needed.
No work disability.</t>
  </si>
  <si>
    <t>Temporaty work disability.</t>
  </si>
  <si>
    <t>Permanent work disability.</t>
  </si>
  <si>
    <t>Fatalities.</t>
  </si>
  <si>
    <t>Environment</t>
  </si>
  <si>
    <t>Negligible impact.</t>
  </si>
  <si>
    <t>Impact (e.g. spill) contained.</t>
  </si>
  <si>
    <t>Minor impact (e.g. spill)</t>
  </si>
  <si>
    <t>On-site damage.</t>
  </si>
  <si>
    <t>Off-site damage.
Long term effect.</t>
  </si>
  <si>
    <t>Business (€)</t>
  </si>
  <si>
    <t>Security</t>
  </si>
  <si>
    <t>None</t>
  </si>
  <si>
    <t>On-site (Local)</t>
  </si>
  <si>
    <t>On-site (General)</t>
  </si>
  <si>
    <t>Off site</t>
  </si>
  <si>
    <t>Society threat</t>
  </si>
  <si>
    <t>Loss of reputation</t>
  </si>
  <si>
    <t>Minor</t>
  </si>
  <si>
    <t>Bad publicity</t>
  </si>
  <si>
    <t>Company issue</t>
  </si>
  <si>
    <t>Political issue</t>
  </si>
  <si>
    <t>Public disruption</t>
  </si>
  <si>
    <t>Negligible</t>
  </si>
  <si>
    <t>Small community</t>
  </si>
  <si>
    <t>Large community</t>
  </si>
  <si>
    <t>Very low
(negligible risk)</t>
  </si>
  <si>
    <t>Low risk</t>
  </si>
  <si>
    <t>Medium risk</t>
  </si>
  <si>
    <t>High risk</t>
  </si>
  <si>
    <t>Very High risk</t>
  </si>
  <si>
    <t>Failure has occurred several times a year in location.</t>
  </si>
  <si>
    <t>Failure has occurred several times a year in operating company.</t>
  </si>
  <si>
    <t>Failure has occurred in company.</t>
  </si>
  <si>
    <t>Failure has occurred in industry</t>
  </si>
  <si>
    <t>Failure has not occurred in industry.</t>
  </si>
  <si>
    <t>Failure is not expected</t>
  </si>
  <si>
    <t>Several failures may occur during the life of the installation for a system comprising of a large number of equipment</t>
  </si>
  <si>
    <t>Several failures may occur during the life of the installation for a system comprising or a small number of equipment.</t>
  </si>
  <si>
    <t>In a large population**, one or more failures can be expected annually.</t>
  </si>
  <si>
    <t>In a small population*, one or more failures can be expected annually.</t>
  </si>
  <si>
    <t>Lower limits calc.</t>
  </si>
  <si>
    <t>Upper limits calc.</t>
  </si>
  <si>
    <t>Averaged limits calc.</t>
  </si>
  <si>
    <t>U_Limit</t>
  </si>
  <si>
    <t>POF</t>
  </si>
  <si>
    <t>Conclusie:</t>
  </si>
  <si>
    <t>Kans van falen:</t>
  </si>
  <si>
    <t>Aanwezig risico</t>
  </si>
  <si>
    <t>C-staal</t>
  </si>
  <si>
    <t>Corrosie marge:</t>
  </si>
  <si>
    <t>World Class Maintenance.</t>
  </si>
  <si>
    <t>Project:</t>
  </si>
  <si>
    <t>Risk Based Corrosie Onder Isolatie Management.</t>
  </si>
  <si>
    <t>De beschrijving van die onderdelen is samengevat in de definitieve versie van deze tool.</t>
  </si>
  <si>
    <t>Daarnaast functioneert de tool ook als test voor de praktijkgerichtheid van het eindresultaat.</t>
  </si>
  <si>
    <t>Tool die projectonderdelen Risk Based CUI Management integreert.</t>
  </si>
  <si>
    <t>Input</t>
  </si>
  <si>
    <t>Resultaat van invoer (output):</t>
  </si>
  <si>
    <t>Output</t>
  </si>
  <si>
    <t>Invoer van gegevens (input):</t>
  </si>
  <si>
    <t>Mate van risico reductie:</t>
  </si>
  <si>
    <t>Aanwezig rest-risico</t>
  </si>
  <si>
    <t>Bron:</t>
  </si>
  <si>
    <t>Toelichting op dit werkblad:</t>
  </si>
  <si>
    <r>
      <rPr>
        <b/>
        <sz val="10"/>
        <color theme="1"/>
        <rFont val="Trebuchet MS"/>
        <family val="2"/>
      </rPr>
      <t>Gebruikte kleur codering:</t>
    </r>
    <r>
      <rPr>
        <b/>
        <sz val="9"/>
        <color theme="1"/>
        <rFont val="Trebuchet MS"/>
        <family val="2"/>
      </rPr>
      <t xml:space="preserve"> </t>
    </r>
    <r>
      <rPr>
        <sz val="9"/>
        <color theme="1"/>
        <rFont val="Trebuchet MS"/>
        <family val="2"/>
      </rPr>
      <t>(standaard vlgs Microsoft Excel):</t>
    </r>
  </si>
  <si>
    <t>De tool is als hulpmiddel beschikbaar voor diegenen die nog geen aanpak  hebben.</t>
  </si>
  <si>
    <t>Het daarbij gehanteerde motto is: "een expliciet beslisproces is in een beslismodel te vatten".</t>
  </si>
  <si>
    <t>25-120 years</t>
  </si>
  <si>
    <t>&gt; 125 years</t>
  </si>
  <si>
    <t>Met de risicomatrix zoals weergegeven, komt het risico in kostenweergave in alle situties overeen met het risico in kleurweergave.</t>
  </si>
  <si>
    <t>De kleurweergave is daarbij aangepast, waarbij de categorie &gt; 125 met de hoogste consequenties nu geel is geworden (= vermijden indien haalbaar).</t>
  </si>
  <si>
    <t>Risico's verwaarloosbaar.</t>
  </si>
  <si>
    <t>Risico's acceptabel.</t>
  </si>
  <si>
    <t>Risico's beperken zonder specifieke eisen.</t>
  </si>
  <si>
    <t>Onaaceptabel risico; herontwerp noodzakelijk.</t>
  </si>
  <si>
    <t>Het argument waarom een serious impact met laagste frequentie, geel mag zijn, is dat dit reasonable worst case niet voorkomt tijdens de levensduur van de installatie.</t>
  </si>
  <si>
    <r>
      <t>Uitgangspunt is dat de installatie veilig is ontworpen, dus dat vanuit het ontwerp aan veiligheidsniveau met kans op fataal incident &lt; 10</t>
    </r>
    <r>
      <rPr>
        <vertAlign val="superscript"/>
        <sz val="10"/>
        <color theme="1"/>
        <rFont val="Trebuchet MS"/>
        <family val="2"/>
      </rPr>
      <t>-5</t>
    </r>
    <r>
      <rPr>
        <sz val="10"/>
        <color theme="1"/>
        <rFont val="Trebuchet MS"/>
        <family val="2"/>
      </rPr>
      <t xml:space="preserve"> jr</t>
    </r>
    <r>
      <rPr>
        <vertAlign val="superscript"/>
        <sz val="10"/>
        <color theme="1"/>
        <rFont val="Trebuchet MS"/>
        <family val="2"/>
      </rPr>
      <t>-1</t>
    </r>
    <r>
      <rPr>
        <sz val="10"/>
        <color theme="1"/>
        <rFont val="Trebuchet MS"/>
        <family val="2"/>
      </rPr>
      <t xml:space="preserve"> wordt voldaan.</t>
    </r>
  </si>
  <si>
    <t>De schijnbare discrepantie tussen TTF en faalkans is gelegen in het feit dat de faalkans verondersteld wordt aanwezig te zijn binnen de aangegeven TTF periode.</t>
  </si>
  <si>
    <r>
      <t>(Denk aan faalkans van accu is 10</t>
    </r>
    <r>
      <rPr>
        <vertAlign val="superscript"/>
        <sz val="10"/>
        <color theme="1"/>
        <rFont val="Trebuchet MS"/>
        <family val="2"/>
      </rPr>
      <t>-4</t>
    </r>
    <r>
      <rPr>
        <sz val="10"/>
        <color theme="1"/>
        <rFont val="Trebuchet MS"/>
        <family val="2"/>
      </rPr>
      <t xml:space="preserve"> binnen de levensduur van een accu cq TTF van 4 jaar).</t>
    </r>
  </si>
  <si>
    <t>Aktie mbt risicoreductie:</t>
  </si>
  <si>
    <t>Risico's aantoonbaar met een bewezen factor 10-100 terugbrengen tot "gele zone"</t>
  </si>
  <si>
    <t>N</t>
  </si>
  <si>
    <t>S</t>
  </si>
  <si>
    <t>W</t>
  </si>
  <si>
    <t>Voor betekenis van termen, ga in een cel staan.</t>
  </si>
  <si>
    <t>Dit werkblad bevat een aangepaste versie van de risicomatrix vanuit de NEN-EN 16991.
Deze opzet is door de werkgroep CUI gevalideerd (bijeenkomst van 8Maart19).</t>
  </si>
  <si>
    <t>De faalkans is daarbij leidend aangezien op het moment van verwacht falen de faalkans toeneemt tot 1, wat gangbaar wordt voorkomen door reparatie / vervanging.</t>
  </si>
  <si>
    <t>Dit werkblad bevat een uitwerking van de planning van Risk Based CUI Management.</t>
  </si>
  <si>
    <t>Het beoogt een voorzet te zijn voor een uitwerking ten behoeve van een asset owner.</t>
  </si>
  <si>
    <t>De uitwerking van de verschillende projectonderdelenis gebaseerd op een "default" risk based aanpak vanuit de RB-CUI management tool.</t>
  </si>
  <si>
    <t>Fase 1: Sectie "installatie gegevens" voor het vastleggen van het ontwerp.</t>
  </si>
  <si>
    <t>Loss of repu-tation</t>
  </si>
  <si>
    <t>Public disrup-tion</t>
  </si>
  <si>
    <t>A-priori risico bepaling:</t>
  </si>
  <si>
    <t>Risico; kwalitatief</t>
  </si>
  <si>
    <t>Fase 4: Sectie "installatie conditie" voor het registeren van het faalrisico.</t>
  </si>
  <si>
    <t>Fase 3: Sectie met bepaling van de isolatie conditie.</t>
  </si>
  <si>
    <t>Toe te passen beheers-maatregel:</t>
  </si>
  <si>
    <t>H-2010</t>
  </si>
  <si>
    <t>C-2012</t>
  </si>
  <si>
    <t>Ldg-2"-20.0013</t>
  </si>
  <si>
    <t>Ldg-2"-20.0014</t>
  </si>
  <si>
    <t>Ldg-2"-20.0018</t>
  </si>
  <si>
    <t>H-2013A</t>
  </si>
  <si>
    <t>H-2013B</t>
  </si>
  <si>
    <t>T-2008</t>
  </si>
  <si>
    <t>Heat exchanger</t>
  </si>
  <si>
    <t>Tank</t>
  </si>
  <si>
    <t>Pipeline</t>
  </si>
  <si>
    <t>Column</t>
  </si>
  <si>
    <t>Meer detaillering is mogelijk met een kloksgewijze onderverdeling in secties 1-4.</t>
  </si>
  <si>
    <t>Deze resolutie maakt het mogelijk om (bijv. pijpleidingen) te registreren met een resolutie van 4 vierkante m².</t>
  </si>
  <si>
    <t>https://earth.google.com/web/@49.52762482,8.42070398,99.54125575a,99.25755935d,35y,126.24522392h,0t,0r</t>
  </si>
  <si>
    <t>Voorbeeld met een deel van een industriële site. Presentatie met één hokje van 2x2 m².</t>
  </si>
  <si>
    <t>Resolutie:</t>
  </si>
  <si>
    <t>50 meter /25 vakjes</t>
  </si>
  <si>
    <t>2 meter / vak.</t>
  </si>
  <si>
    <t>In deze tool worden de volgende hulpmiddelen aangereikt:</t>
  </si>
  <si>
    <t>Een laag met conditie informatie wordt dan gelegd bovenop de laag met visuele informatie over de asset.</t>
  </si>
  <si>
    <t>Dit zal in staat stellen tot gedetailleerdere waarneming met een verhoogd niveau van trendanalyse.</t>
  </si>
  <si>
    <t>Doordat dit soort ontwikkelingen nu nog geen "bewezen praktijk" zijn, zijn die nu niet meegenomen in deze best practise.</t>
  </si>
  <si>
    <t>Ontwikkelingen:</t>
  </si>
  <si>
    <t>Op termijn wordt voorzien dat gebruik gemaakt kan worden van digitale technieken met zogenaamde gelaagde scans.</t>
  </si>
  <si>
    <t>Op dit tab wordt uiteengezet hoe de toestand van een asset kan worden vastgelegd.</t>
  </si>
  <si>
    <t>Gebruikelijke presentaties zijn:</t>
  </si>
  <si>
    <t>Een platte vlak presentatie met locatie coördinaten vanuit een raster. Een voorbeeld daarvan is hieronder weergegeven, met "spreadsheet indeling".</t>
  </si>
  <si>
    <t>Een drie dimensionale weergave, waarbij de platte vlak weergave wordt gebruikt in combinatie met een hoogte waargave (typisch zelfde resolutie, dus in dit voorbeeld met stappen van 2 meter).</t>
  </si>
  <si>
    <t>Op asset niveau is deze aan te vullen met de gebruikelijke indeling voor inspectie doeleinden.</t>
  </si>
  <si>
    <t>Hieronder een voorbeeld van platte vlak weergave.</t>
  </si>
  <si>
    <t>F</t>
  </si>
  <si>
    <t>G</t>
  </si>
  <si>
    <t>H</t>
  </si>
  <si>
    <t>I</t>
  </si>
  <si>
    <t>J</t>
  </si>
  <si>
    <t>K</t>
  </si>
  <si>
    <t>L</t>
  </si>
  <si>
    <t>M</t>
  </si>
  <si>
    <t>O</t>
  </si>
  <si>
    <t>P</t>
  </si>
  <si>
    <t>Q</t>
  </si>
  <si>
    <t>R</t>
  </si>
  <si>
    <t>T</t>
  </si>
  <si>
    <t>U</t>
  </si>
  <si>
    <t>V</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</si>
  <si>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</si>
  <si>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</si>
  <si>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</si>
  <si>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</si>
  <si>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</si>
  <si>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</si>
  <si>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</si>
  <si>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</si>
  <si>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</si>
  <si>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</si>
  <si>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</si>
  <si>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</si>
  <si>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</si>
  <si>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</si>
  <si>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</si>
  <si>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</si>
  <si>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</si>
  <si>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</si>
  <si>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</si>
  <si>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</si>
  <si>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</si>
  <si>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</si>
  <si>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</si>
  <si>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</si>
  <si>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</si>
  <si>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</si>
  <si>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</si>
  <si>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</si>
  <si>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</si>
  <si>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</si>
  <si>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</si>
  <si>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</si>
  <si>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</si>
  <si>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</si>
  <si>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</si>
  <si>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</si>
  <si>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</si>
  <si>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Voor specifiek equipment zoals bijv. opslagtanks, biedt aansluiting met specifieke richtlijnen zoals de indeling vanuit EEMUA 159 (met ringen &amp; platen vanuit de constructie) de meest effectieve opzet.</t>
  </si>
  <si>
    <t>Voor horizontaal opgestelde vaten en reactoren een positie op klokuren/graden, met zichtrichting vanuit (1) toegang en/of (2) instroomzijde en nulpunt vanaf de overgang naar het naburige equipment.</t>
  </si>
  <si>
    <t>Voor verticaal opgestelde vaten en reactoren een vergelijkbare positie in windrichting/graden, met zichtrichting vanuit boven naar beneden met nulpunt vanaf de overgang naar het naburige equipment.</t>
  </si>
  <si>
    <t>Voor hoge installaties, wordt in veel gevallen de hoogte locatie praktisch bepaald (i.v.m. bereikbaarheid) aan de hand van het bordesnummer, tellend vanaf de onderzijde.</t>
  </si>
  <si>
    <t>Op basis van de vastgestelde risico's, is via prioritisering de invulling volgordelijk uit te werken.</t>
  </si>
  <si>
    <r>
      <t xml:space="preserve">Dit is in te vullen door de benodigde </t>
    </r>
    <r>
      <rPr>
        <b/>
        <sz val="10"/>
        <color theme="1"/>
        <rFont val="Trebuchet MS"/>
        <family val="2"/>
      </rPr>
      <t>steiger locatie</t>
    </r>
    <r>
      <rPr>
        <sz val="10"/>
        <color theme="1"/>
        <rFont val="Trebuchet MS"/>
        <family val="2"/>
      </rPr>
      <t xml:space="preserve"> bij de installatiecode als factor mee te nemen. Zie tab. [Installatie].</t>
    </r>
  </si>
  <si>
    <t>(Steiger-)
Locatie:</t>
  </si>
  <si>
    <t>Risicogedreven is het leidende principe wanneer er dusdanige risico's zijn dat de beheersing daarvan de hoogste prioriteit heeft.</t>
  </si>
  <si>
    <r>
      <t xml:space="preserve">Er zijn twee leidende principes om het werk te sturen: </t>
    </r>
    <r>
      <rPr>
        <b/>
        <i/>
        <sz val="10"/>
        <color theme="1"/>
        <rFont val="Trebuchet MS"/>
        <family val="2"/>
      </rPr>
      <t>Risico-gedreven</t>
    </r>
    <r>
      <rPr>
        <sz val="10"/>
        <color theme="1"/>
        <rFont val="Trebuchet MS"/>
        <family val="2"/>
      </rPr>
      <t xml:space="preserve"> en </t>
    </r>
    <r>
      <rPr>
        <b/>
        <i/>
        <sz val="10"/>
        <color theme="1"/>
        <rFont val="Trebuchet MS"/>
        <family val="2"/>
      </rPr>
      <t>Efficiency gedreven</t>
    </r>
    <r>
      <rPr>
        <sz val="10"/>
        <color theme="1"/>
        <rFont val="Trebuchet MS"/>
        <family val="2"/>
      </rPr>
      <t>.</t>
    </r>
  </si>
  <si>
    <t>In geval op basis van de risico's de urgenties gelijkelijk verdeeld zijn, wordt prioritisering op basis van efficiency toegepast.</t>
  </si>
  <si>
    <t>Product:</t>
  </si>
  <si>
    <t>Generatie coating:</t>
  </si>
  <si>
    <t>Ontwerp:</t>
  </si>
  <si>
    <t>Proces &amp; Mens:</t>
  </si>
  <si>
    <t>Oud</t>
  </si>
  <si>
    <t>Compleet</t>
  </si>
  <si>
    <t>Complete uitvoering en onderhoud</t>
  </si>
  <si>
    <t>Goed plan, Onvoldoende expertise</t>
  </si>
  <si>
    <t>Voldoende uitvoering en onvoldoende onderhoud</t>
  </si>
  <si>
    <t>LT_Coating:</t>
  </si>
  <si>
    <t>Getest, bewezen</t>
  </si>
  <si>
    <t>Plan en expertise onvoldoende</t>
  </si>
  <si>
    <t>Onvoldoende uitvoering, voldoende onderhoud</t>
  </si>
  <si>
    <t>Dit tabblad bevat de instellingen die als default waarden worden toegepast om risico's en de mate van risicoreductie te bepalen die in het tabblad [Installatie] worden berekend en toegepast.</t>
  </si>
  <si>
    <t>Techniek: (Details zie API 581 Annex 2-C)</t>
  </si>
  <si>
    <t>Werkwijze:</t>
  </si>
  <si>
    <t>Een techniek heeft een bepaalde kans om schade te detecteren.
Na beoordeling volgt, als daar aanleiding voor is, een 2-de beoordeling waarbij middels wanddiktemetingen de toestand wordt beoordeeld.
De betrouwbaarheid van die (follow-up)beoordeling wordt hier niet meegenomen aangezien in dát geval de isolatie lokaal al is verwijderd; de effectiviteit om "door de isolatie heen te kijken" is dan al niet meer aan de orde.</t>
  </si>
  <si>
    <t>11) 	Neuron Backscatter (tbv vochtdetectie)</t>
  </si>
  <si>
    <t>Typical:</t>
  </si>
  <si>
    <t>Opmerking (mbt typical voor techniek):</t>
  </si>
  <si>
    <r>
      <t xml:space="preserve">1): middels corrosieproduct op support (verondersteld </t>
    </r>
    <r>
      <rPr>
        <sz val="10"/>
        <color theme="1"/>
        <rFont val="Wingdings 3"/>
        <family val="1"/>
        <charset val="2"/>
      </rPr>
      <t>Ó</t>
    </r>
    <r>
      <rPr>
        <sz val="10"/>
        <color theme="1"/>
        <rFont val="Trebuchet MS"/>
        <family val="2"/>
      </rPr>
      <t>)</t>
    </r>
  </si>
  <si>
    <t>Opmerking (m.b.t. techniek in relatie tot typical(s))</t>
  </si>
  <si>
    <t>Faalcriterium:</t>
  </si>
  <si>
    <t>Het behalen van de minimaal toelaatbare wanddikte, waardoor een kans op perforatie en mogelijk een catastrofale breuk ontstaat.</t>
  </si>
  <si>
    <r>
      <t xml:space="preserve">Betreft schade-detectie.
</t>
    </r>
    <r>
      <rPr>
        <sz val="10"/>
        <color rgb="FFFF0000"/>
        <rFont val="Trebuchet MS"/>
        <family val="2"/>
      </rPr>
      <t>Effectiviteitsscore voor vochtdetectie nader te bepalen (ntb).</t>
    </r>
  </si>
  <si>
    <t>Afhankelijk van het soort van proces, variëren dan de gevolgen.</t>
  </si>
  <si>
    <t>In hoeverre de met een techniek te behalen risicoreductie van voldoende is, zal in de specifieke bedrijfssituatie dan bekeken moeten worden.</t>
  </si>
  <si>
    <t>Uitgangspunten qua dekking:</t>
  </si>
  <si>
    <t>Voor de dekking van het oppervlak bij toepassing van een techniek, wordt uitgegaan van 100% visuele inspectie ter bepaling van "hot spots"(risicoplaatsen), met daarnaast in geval van de volgende effectiviteits categorieën:
Het volgende percentage dekking van de hot-spots:
Cat.A: 100%; B: &gt;65%; C: &gt;35%; D: &gt; 5%.</t>
  </si>
  <si>
    <t>DDR = "Direct Digital Recording", dus met inzet digitale techniek.</t>
  </si>
  <si>
    <t>C is "Contour", dus met inzet van een scan rondom.</t>
  </si>
  <si>
    <t>RT is "Radiographic Technique", dus met gebruik van een stralingsbron.</t>
  </si>
  <si>
    <t>?? "met of zonder uitpakken"; maakt toch een groot verschil?</t>
  </si>
  <si>
    <t>Referentie tabel:</t>
  </si>
  <si>
    <t>Eff. klasse:</t>
  </si>
  <si>
    <t>Red.factor:</t>
  </si>
  <si>
    <t>Dekking:</t>
  </si>
  <si>
    <t xml:space="preserve"> </t>
  </si>
  <si>
    <t>Uitwerking door WCM werkgroep NDT Effectiviteit.</t>
  </si>
  <si>
    <t>Optie #:</t>
  </si>
  <si>
    <t>Product</t>
  </si>
  <si>
    <t>Effect</t>
  </si>
  <si>
    <t>Ontwerp</t>
  </si>
  <si>
    <t>Proces&amp;mens+uitvoering</t>
  </si>
  <si>
    <t>Isolatie</t>
  </si>
  <si>
    <r>
      <t>Getest (</t>
    </r>
    <r>
      <rPr>
        <sz val="10"/>
        <color rgb="FFFF0000"/>
        <rFont val="Arial"/>
        <family val="2"/>
      </rPr>
      <t xml:space="preserve">= voldoende tolerant)* </t>
    </r>
    <r>
      <rPr>
        <sz val="10"/>
        <color rgb="FF000000"/>
        <rFont val="Arial"/>
        <family val="2"/>
      </rPr>
      <t>en &gt;10 jaar ervaring</t>
    </r>
  </si>
  <si>
    <t>Conserveerbaarheid object conform ISO 12944-3 en getoetst door coatingsdeskundige.</t>
  </si>
  <si>
    <t>100% doordacht en haalbaar proces. Getoetst door coatingsdeskundige</t>
  </si>
  <si>
    <t>Complete uitvoering en voldoende onderhoud</t>
  </si>
  <si>
    <t>Bereikbaarheid, toegankelijkheid is zodanig dat optimaal kan worden geconserveerd</t>
  </si>
  <si>
    <t>Goed plan; voldoende expertise</t>
  </si>
  <si>
    <r>
      <t>Volledig getest en</t>
    </r>
    <r>
      <rPr>
        <sz val="10"/>
        <color rgb="FFFF0000"/>
        <rFont val="Arial"/>
        <family val="2"/>
      </rPr>
      <t xml:space="preserve"> geen langdurige ervaring</t>
    </r>
  </si>
  <si>
    <t>Conserveerbaarheid is op 50% van het object moeilijk
Bijv. Liften bij oplegpunten.</t>
  </si>
  <si>
    <t>Goed plan; onvoldoende expertise</t>
  </si>
  <si>
    <t>0,9 (oude generatie coatings)</t>
  </si>
  <si>
    <t>Plaatselijk niet te raken.</t>
  </si>
  <si>
    <t>0,5 ?(huidige generatie)</t>
  </si>
  <si>
    <t>Onvolledig getest maar geen ervaring</t>
  </si>
  <si>
    <t>Conserveerbaarheid is op &gt;80% van het object moeilijk</t>
  </si>
  <si>
    <t>Onvoldoende plan; voldoende expertise</t>
  </si>
  <si>
    <t>Nieuwe systemen</t>
  </si>
  <si>
    <t xml:space="preserve">Bijv. Liften bij oplegpunten. </t>
  </si>
  <si>
    <t>Onvoldoende plan; onvoldoende expertise</t>
  </si>
  <si>
    <t>Onvoldoende uitvoering, onvoldoende onderhoud</t>
  </si>
  <si>
    <r>
      <t xml:space="preserve">Tabel coating beschermingsduur: zoals toegepast in het tabblad [Installatie]. Voor details zie het spreadsheet [ToolBP_CUIManagement(Datum).xlsx].    </t>
    </r>
    <r>
      <rPr>
        <b/>
        <sz val="22"/>
        <color theme="1"/>
        <rFont val="Wingdings"/>
        <charset val="2"/>
      </rPr>
      <t>ð   ð</t>
    </r>
  </si>
  <si>
    <t>Tabel: NDT Effectiviteit.</t>
  </si>
  <si>
    <t>Tabel: Coating beschermingsduur.</t>
  </si>
  <si>
    <t>Uitwerking door WCM werkgroep coatings.</t>
  </si>
  <si>
    <t>Sectie waarin de levensduur van de coating wordt bepaald.</t>
  </si>
  <si>
    <t>Isolatie materialen:</t>
  </si>
  <si>
    <t>Stimulatiefactor; effect op corrosiegedrag:</t>
  </si>
  <si>
    <t>Calcium silicate</t>
  </si>
  <si>
    <t>De weergegeven factoren zijn "engineering estimates".
Deze bevatten correcties voor mogelijke vertekening door aanwezige beperkingen in literatuur referenties.</t>
  </si>
  <si>
    <t>Expanded perlite</t>
  </si>
  <si>
    <t>Geen data beschikbaar.</t>
  </si>
  <si>
    <t>Pyrogel XT</t>
  </si>
  <si>
    <t>Cellular glass</t>
  </si>
  <si>
    <t>WRG mineral wool</t>
  </si>
  <si>
    <t>Mineral wool</t>
  </si>
  <si>
    <t xml:space="preserve">Pyrogel XT over mineral wool </t>
  </si>
  <si>
    <t>1= inhibiterend ; 5 = stimulerend.</t>
  </si>
  <si>
    <t>Exp. Corr. Damage.</t>
  </si>
  <si>
    <t>Deze tabel is ingevuld op basis van een eigen interpretatie van de in de bron gerapporteerde resulaten.</t>
  </si>
  <si>
    <t>Stimulatie factoren en effecten.</t>
  </si>
  <si>
    <t>Proces (skin-) temperatuur:</t>
  </si>
  <si>
    <t>Isolatie materiaal:</t>
  </si>
  <si>
    <t>Aantal nat-droog cycli:</t>
  </si>
  <si>
    <t>Zout-risico:</t>
  </si>
  <si>
    <t>Nat-droog risicomatrix</t>
  </si>
  <si>
    <t>Wisselingen nat-droog (/jr.) &gt;=</t>
  </si>
  <si>
    <t>Zout risicomatrix</t>
  </si>
  <si>
    <t>[Zout]</t>
  </si>
  <si>
    <t>C1-2</t>
  </si>
  <si>
    <t>Low</t>
  </si>
  <si>
    <t>C3</t>
  </si>
  <si>
    <t>Middle</t>
  </si>
  <si>
    <t>High</t>
  </si>
  <si>
    <t>Referentie levensduur van coatings:</t>
  </si>
  <si>
    <t>Resterende tijd tot normatief falen:</t>
  </si>
  <si>
    <t>3, Matig</t>
  </si>
  <si>
    <t>4, Slecht</t>
  </si>
  <si>
    <t>1)  Visuele inspectie met uitpakken.</t>
  </si>
  <si>
    <t>• Hulpmiddel om onderdelen van de installatie te kunnen localiseren.                                   Tab: Weergave</t>
  </si>
  <si>
    <r>
      <t>•</t>
    </r>
    <r>
      <rPr>
        <sz val="8.5"/>
        <rFont val="Trebuchet MS"/>
        <family val="2"/>
      </rPr>
      <t xml:space="preserve"> </t>
    </r>
    <r>
      <rPr>
        <sz val="10"/>
        <rFont val="Trebuchet MS"/>
        <family val="2"/>
      </rPr>
      <t>Overzichtlijst t.b.v. rapportage van de toestand van een fabriek(sdeel).                           Tab: Installatie.</t>
    </r>
  </si>
  <si>
    <t>• Hulpmiddel om de installatie via clustering naar steigerpositie te kunnen inspecteren.       Tab: Installatie</t>
  </si>
  <si>
    <t>• De risicomatrix om de toestandsinformatie te kunnen prioriteren naar te nemen akties.    Tab: NEN 16991</t>
  </si>
  <si>
    <t>Het Tab [Instellingen] bevat de gegevens die in het tab [Installatie] benodigd zijn bij de risicobeoordeling.</t>
  </si>
  <si>
    <t>Efficiency sturing is aan de orde als risico's acceptabel zijn en maximale efficiency het doel is.</t>
  </si>
  <si>
    <r>
      <t xml:space="preserve">De afweging is dan: met welke steigerposities is maximale verwerkingssnelheid te behalen.(efficiency </t>
    </r>
    <r>
      <rPr>
        <sz val="10"/>
        <color theme="1"/>
        <rFont val="Wingdings"/>
        <charset val="2"/>
      </rPr>
      <t>ð</t>
    </r>
    <r>
      <rPr>
        <sz val="10"/>
        <color theme="1"/>
        <rFont val="Trebuchet MS"/>
        <family val="2"/>
      </rPr>
      <t xml:space="preserve"> "maximaal effect per steigerpositie") </t>
    </r>
  </si>
  <si>
    <t>Component_Typical:</t>
  </si>
  <si>
    <t>Isolatie type:</t>
  </si>
  <si>
    <t>C-staal, TSA</t>
  </si>
  <si>
    <t>C-staal, gecoat</t>
  </si>
  <si>
    <t>Aanwezig risico (ivm isolatie)</t>
  </si>
  <si>
    <t>RVS (304/316 )(L)</t>
  </si>
  <si>
    <t>SAO</t>
  </si>
  <si>
    <t>Dit betreft de toepassing in de situatie met RVS 304, 316, 304L en 316L.
Voor andere materialen is dit per materiaalsoort vast te stellen.</t>
  </si>
  <si>
    <t>RVS_Corrosie</t>
  </si>
  <si>
    <t>(betreft gegevens die, afhankelijk van andere gegevens, al dan niet nodig zijn)</t>
  </si>
  <si>
    <t>Gegevensinvoer niet nodig:</t>
  </si>
  <si>
    <t>Aftakkingen op leidingen &gt; DN250 en op vatwanden</t>
  </si>
  <si>
    <t>Aftakkingen op leidingen ≤  DN250</t>
  </si>
  <si>
    <t>Brandwerende bekleding in het algemeen</t>
  </si>
  <si>
    <t>Oplegging/Ondersteuning (*)</t>
  </si>
  <si>
    <t>Rechte leidingen &gt; DN250 en vatwanden</t>
  </si>
  <si>
    <t>Rechte leidingen ≤ DN250</t>
  </si>
  <si>
    <t>(*): de waardering is sterk afhankelijk van het type support</t>
  </si>
  <si>
    <t>2) On stream RT (Film)</t>
  </si>
  <si>
    <t>3) On streamRT (digitaal)</t>
  </si>
  <si>
    <t>4) Profile radiografie</t>
  </si>
  <si>
    <t>5) Guided Waves / Long Range UT</t>
  </si>
  <si>
    <t>6) PEC / PEC Array</t>
  </si>
  <si>
    <t>7) In-line inspection (intelligent pigging)</t>
  </si>
  <si>
    <t>8) Ultrasone wanddikte meting</t>
  </si>
  <si>
    <t>9) UT C-scan mapping</t>
  </si>
  <si>
    <t>10) Thermografie</t>
  </si>
  <si>
    <r>
      <t xml:space="preserve">Score betreft SCHADE-detectie.
</t>
    </r>
    <r>
      <rPr>
        <sz val="10"/>
        <color rgb="FFFF0000"/>
        <rFont val="Trebuchet MS"/>
        <family val="2"/>
      </rPr>
      <t>Effectiviteitsscore voor vochtdetectie (!preventief!) ntb.</t>
    </r>
  </si>
  <si>
    <t>TSA levensduur verlenging:</t>
  </si>
  <si>
    <t>Kleur (J/N):</t>
  </si>
  <si>
    <t>Rest-risico; kwalitatief</t>
  </si>
  <si>
    <t>C4-C5-CX</t>
  </si>
  <si>
    <t>Update 13 November 2019.</t>
  </si>
  <si>
    <t>Risico; Isolatie conditie;
kwalitatief</t>
  </si>
  <si>
    <t>Ja</t>
  </si>
  <si>
    <t>Getest, onbewezen</t>
  </si>
  <si>
    <t>Condensaat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</si>
</sst>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quot;≤ &quot;0.E+00"/>
    <numFmt numFmtId="165" formatCode="0&quot; Yr.&quot;"/>
    <numFmt numFmtId="166" formatCode="&quot;&lt; &quot;#,##0&quot; k€&quot;"/>
    <numFmt numFmtId="167" formatCode="#,##0.0"/>
    <numFmt numFmtId="168" formatCode="@&quot;:&quot;"/>
    <numFmt numFmtId="169" formatCode="#,##0.0&quot; k€/jr.&quot;"/>
    <numFmt numFmtId="170" formatCode="0.0&quot; mm&quot;"/>
    <numFmt numFmtId="171" formatCode="&quot;Cat. &quot;0"/>
    <numFmt numFmtId="172" formatCode="&quot;&gt; &quot;#,##0&quot; k€&quot;"/>
    <numFmt numFmtId="173" formatCode="0&quot; °C.&quot;_ ;[Red]\-0&quot; °C.&quot;"/>
    <numFmt numFmtId="174" formatCode="0.0&quot; Jr.&quot;"/>
    <numFmt numFmtId="175" formatCode="&quot;≥&quot;0_ &quot; °C.&quot;;[Red]&quot;≥&quot;\-0\ &quot; °C.&quot;"/>
    <numFmt numFmtId="176" formatCode="&quot;≥&quot;\ 0"/>
    <numFmt numFmtId="177" formatCode="#,##0.0&quot; mm/jr.&quot;"/>
    <numFmt numFmtId="178" formatCode="&quot;+ &quot;#,##0.0&quot; mm/jr.&quot;"/>
    <numFmt numFmtId="179" formatCode="General&quot; Jr.&quot;"/>
    <numFmt numFmtId="180" formatCode="0.0_ &quot;Jr.&quot;;[Red]\-0.0\ &quot;Jr.&quot;"/>
    <numFmt numFmtId="181" formatCode="&quot;Factor &quot;0.0"/>
  </numFmts>
  <fonts count="37" x14ac:knownFonts="1">
    <font>
      <sz val="10"/>
      <color theme="1"/>
      <name val="Trebuchet MS"/>
      <family val="2"/>
    </font>
    <font>
      <b/>
      <sz val="10"/>
      <color theme="1"/>
      <name val="Trebuchet MS"/>
      <family val="2"/>
    </font>
    <font>
      <sz val="10"/>
      <color rgb="FF3F3F76"/>
      <name val="Trebuchet MS"/>
      <family val="2"/>
    </font>
    <font>
      <b/>
      <sz val="10"/>
      <color rgb="FF3F3F3F"/>
      <name val="Trebuchet MS"/>
      <family val="2"/>
    </font>
    <font>
      <b/>
      <sz val="10"/>
      <color theme="0"/>
      <name val="Trebuchet MS"/>
      <family val="2"/>
    </font>
    <font>
      <vertAlign val="superscript"/>
      <sz val="10"/>
      <color theme="1"/>
      <name val="Trebuchet MS"/>
      <family val="2"/>
    </font>
    <font>
      <b/>
      <sz val="12"/>
      <color theme="1"/>
      <name val="Trebuchet MS"/>
      <family val="2"/>
    </font>
    <font>
      <sz val="9"/>
      <color indexed="81"/>
      <name val="Tahoma"/>
      <family val="2"/>
    </font>
    <font>
      <b/>
      <sz val="9"/>
      <color indexed="81"/>
      <name val="Tahoma"/>
      <family val="2"/>
    </font>
    <font>
      <sz val="10"/>
      <color theme="1" tint="0.499984740745262"/>
      <name val="Trebuchet MS"/>
      <family val="2"/>
    </font>
    <font>
      <sz val="10"/>
      <color theme="0"/>
      <name val="Trebuchet MS"/>
      <family val="2"/>
    </font>
    <font>
      <b/>
      <sz val="20"/>
      <color theme="1"/>
      <name val="Trebuchet MS"/>
      <family val="2"/>
    </font>
    <font>
      <u/>
      <sz val="10"/>
      <color theme="10"/>
      <name val="Trebuchet MS"/>
      <family val="2"/>
    </font>
    <font>
      <i/>
      <sz val="10"/>
      <color theme="1"/>
      <name val="Trebuchet MS"/>
      <family val="2"/>
    </font>
    <font>
      <sz val="10"/>
      <color theme="8" tint="-0.249977111117893"/>
      <name val="Trebuchet MS"/>
      <family val="2"/>
    </font>
    <font>
      <b/>
      <sz val="10"/>
      <color theme="8" tint="-0.249977111117893"/>
      <name val="Trebuchet MS"/>
      <family val="2"/>
    </font>
    <font>
      <b/>
      <sz val="9"/>
      <color theme="1"/>
      <name val="Trebuchet MS"/>
      <family val="2"/>
    </font>
    <font>
      <sz val="9"/>
      <color theme="1"/>
      <name val="Trebuchet MS"/>
      <family val="2"/>
    </font>
    <font>
      <sz val="10"/>
      <color rgb="FFFF0000"/>
      <name val="Trebuchet MS"/>
      <family val="2"/>
    </font>
    <font>
      <sz val="10"/>
      <name val="Trebuchet MS"/>
      <family val="2"/>
    </font>
    <font>
      <sz val="8.5"/>
      <name val="Trebuchet MS"/>
      <family val="2"/>
    </font>
    <font>
      <b/>
      <i/>
      <sz val="10"/>
      <color theme="1"/>
      <name val="Trebuchet MS"/>
      <family val="2"/>
    </font>
    <font>
      <sz val="10"/>
      <color theme="1"/>
      <name val="Trebuchet MS"/>
      <family val="2"/>
    </font>
    <font>
      <b/>
      <sz val="10"/>
      <color rgb="FFFF0000"/>
      <name val="Trebuchet MS"/>
      <family val="2"/>
    </font>
    <font>
      <sz val="10"/>
      <color rgb="FF000000"/>
      <name val="Trebuchet MS"/>
      <family val="2"/>
    </font>
    <font>
      <sz val="10"/>
      <color theme="1"/>
      <name val="Wingdings 3"/>
      <family val="1"/>
      <charset val="2"/>
    </font>
    <font>
      <b/>
      <sz val="10"/>
      <color rgb="FF000000"/>
      <name val="Trebuchet MS"/>
      <family val="2"/>
    </font>
    <font>
      <sz val="10"/>
      <color theme="0" tint="-0.34998626667073579"/>
      <name val="Trebuchet MS"/>
      <family val="2"/>
    </font>
    <font>
      <b/>
      <sz val="10"/>
      <color rgb="FF000000"/>
      <name val="Arial"/>
      <family val="2"/>
    </font>
    <font>
      <sz val="10"/>
      <color rgb="FF000000"/>
      <name val="Arial"/>
      <family val="2"/>
    </font>
    <font>
      <sz val="10"/>
      <color rgb="FFFF0000"/>
      <name val="Arial"/>
      <family val="2"/>
    </font>
    <font>
      <strike/>
      <sz val="10"/>
      <color rgb="FF000000"/>
      <name val="Arial"/>
      <family val="2"/>
    </font>
    <font>
      <b/>
      <sz val="22"/>
      <color theme="1"/>
      <name val="Wingdings"/>
      <charset val="2"/>
    </font>
    <font>
      <sz val="6"/>
      <color theme="1"/>
      <name val="Trebuchet MS"/>
      <family val="2"/>
    </font>
    <font>
      <sz val="11"/>
      <color rgb="FF000000"/>
      <name val="Calibri"/>
      <family val="2"/>
    </font>
    <font>
      <u/>
      <sz val="9"/>
      <color indexed="81"/>
      <name val="Tahoma"/>
      <family val="2"/>
    </font>
    <font>
      <sz val="10"/>
      <color theme="1"/>
      <name val="Wingdings"/>
      <charset val="2"/>
    </font>
  </fonts>
  <fills count="28">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theme="0" tint="-0.14996795556505021"/>
        <bgColor indexed="64"/>
      </patternFill>
    </fill>
    <fill>
      <gradientFill degree="135">
        <stop position="0">
          <color theme="0"/>
        </stop>
        <stop position="1">
          <color rgb="FFCFCFCF"/>
        </stop>
      </gradientFill>
    </fill>
    <fill>
      <patternFill patternType="solid">
        <fgColor rgb="FFFFFF00"/>
        <bgColor indexed="64"/>
      </patternFill>
    </fill>
    <fill>
      <patternFill patternType="solid">
        <fgColor rgb="FF66FF33"/>
        <bgColor indexed="64"/>
      </patternFill>
    </fill>
    <fill>
      <patternFill patternType="solid">
        <fgColor rgb="FFFF0000"/>
        <bgColor indexed="64"/>
      </patternFill>
    </fill>
    <fill>
      <patternFill patternType="solid">
        <fgColor rgb="FFC00000"/>
        <bgColor indexed="64"/>
      </patternFill>
    </fill>
    <fill>
      <patternFill patternType="solid">
        <fgColor rgb="FFCCFFCC"/>
        <bgColor indexed="64"/>
      </patternFill>
    </fill>
    <fill>
      <patternFill patternType="solid">
        <fgColor theme="0" tint="-0.249977111117893"/>
        <bgColor indexed="64"/>
      </patternFill>
    </fill>
    <fill>
      <patternFill patternType="solid">
        <fgColor rgb="FFE6E6E6"/>
        <bgColor indexed="64"/>
      </patternFill>
    </fill>
    <fill>
      <patternFill patternType="solid">
        <fgColor theme="8" tint="0.59996337778862885"/>
        <bgColor indexed="64"/>
      </patternFill>
    </fill>
    <fill>
      <gradientFill degree="180">
        <stop position="0">
          <color theme="0"/>
        </stop>
        <stop position="1">
          <color theme="8" tint="0.59999389629810485"/>
        </stop>
      </gradientFill>
    </fill>
    <fill>
      <patternFill patternType="solid">
        <fgColor rgb="FFBEE395"/>
        <bgColor indexed="64"/>
      </patternFill>
    </fill>
    <fill>
      <gradientFill degree="90">
        <stop position="0">
          <color theme="0"/>
        </stop>
        <stop position="1">
          <color theme="0" tint="-0.1490218817712943"/>
        </stop>
      </gradientFill>
    </fill>
    <fill>
      <patternFill patternType="solid">
        <fgColor theme="8" tint="-0.24994659260841701"/>
        <bgColor indexed="64"/>
      </patternFill>
    </fill>
    <fill>
      <patternFill patternType="solid">
        <fgColor rgb="FF92D050"/>
        <bgColor indexed="64"/>
      </patternFill>
    </fill>
    <fill>
      <patternFill patternType="solid">
        <fgColor rgb="FFC45911"/>
        <bgColor indexed="64"/>
      </patternFill>
    </fill>
    <fill>
      <patternFill patternType="solid">
        <fgColor rgb="FFFFC000"/>
        <bgColor indexed="64"/>
      </patternFill>
    </fill>
    <fill>
      <patternFill patternType="solid">
        <fgColor theme="1"/>
        <bgColor indexed="64"/>
      </patternFill>
    </fill>
    <fill>
      <patternFill patternType="solid">
        <fgColor theme="7" tint="0.39997558519241921"/>
        <bgColor indexed="64"/>
      </patternFill>
    </fill>
    <fill>
      <patternFill patternType="solid">
        <fgColor theme="0" tint="-0.14999847407452621"/>
        <bgColor indexed="64"/>
      </patternFill>
    </fill>
    <fill>
      <patternFill patternType="lightGray">
        <bgColor rgb="FFFFCC99"/>
      </patternFill>
    </fill>
  </fills>
  <borders count="82">
    <border>
      <left/>
      <right/>
      <top/>
      <bottom/>
      <diagonal/>
    </border>
    <border>
      <left/>
      <right/>
      <top/>
      <bottom style="medium">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auto="1"/>
      </top>
      <bottom style="medium">
        <color auto="1"/>
      </bottom>
      <diagonal/>
    </border>
    <border>
      <left/>
      <right/>
      <top/>
      <bottom style="thin">
        <color auto="1"/>
      </bottom>
      <diagonal/>
    </border>
    <border>
      <left style="thin">
        <color rgb="FF7F7F7F"/>
      </left>
      <right style="thin">
        <color rgb="FF7F7F7F"/>
      </right>
      <top/>
      <bottom style="thin">
        <color rgb="FF7F7F7F"/>
      </bottom>
      <diagonal/>
    </border>
    <border>
      <left/>
      <right style="medium">
        <color auto="1"/>
      </right>
      <top/>
      <bottom style="medium">
        <color auto="1"/>
      </bottom>
      <diagonal/>
    </border>
    <border>
      <left/>
      <right style="medium">
        <color auto="1"/>
      </right>
      <top/>
      <bottom/>
      <diagonal/>
    </border>
    <border>
      <left style="thin">
        <color auto="1"/>
      </left>
      <right style="thin">
        <color auto="1"/>
      </right>
      <top style="thin">
        <color auto="1"/>
      </top>
      <bottom style="thin">
        <color auto="1"/>
      </bottom>
      <diagonal/>
    </border>
    <border>
      <left/>
      <right/>
      <top style="medium">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theme="8" tint="0.39994506668294322"/>
      </left>
      <right/>
      <top/>
      <bottom/>
      <diagonal/>
    </border>
    <border>
      <left/>
      <right/>
      <top style="medium">
        <color theme="8" tint="0.39994506668294322"/>
      </top>
      <bottom/>
      <diagonal/>
    </border>
    <border>
      <left style="medium">
        <color theme="8" tint="0.39994506668294322"/>
      </left>
      <right/>
      <top style="medium">
        <color theme="8" tint="0.39994506668294322"/>
      </top>
      <bottom/>
      <diagonal/>
    </border>
    <border>
      <left/>
      <right/>
      <top/>
      <bottom style="medium">
        <color theme="8" tint="-0.499984740745262"/>
      </bottom>
      <diagonal/>
    </border>
    <border>
      <left style="medium">
        <color theme="8" tint="0.39994506668294322"/>
      </left>
      <right/>
      <top/>
      <bottom style="medium">
        <color theme="8" tint="-0.499984740745262"/>
      </bottom>
      <diagonal/>
    </border>
    <border>
      <left/>
      <right style="medium">
        <color theme="8" tint="-0.499984740745262"/>
      </right>
      <top/>
      <bottom/>
      <diagonal/>
    </border>
    <border>
      <left style="medium">
        <color theme="8" tint="0.39994506668294322"/>
      </left>
      <right style="medium">
        <color theme="8" tint="-0.499984740745262"/>
      </right>
      <top/>
      <bottom/>
      <diagonal/>
    </border>
    <border>
      <left/>
      <right style="medium">
        <color theme="8" tint="-0.499984740745262"/>
      </right>
      <top style="medium">
        <color theme="8" tint="0.39994506668294322"/>
      </top>
      <bottom/>
      <diagonal/>
    </border>
    <border>
      <left/>
      <right style="medium">
        <color theme="8" tint="-0.499984740745262"/>
      </right>
      <top/>
      <bottom style="medium">
        <color theme="8" tint="-0.499984740745262"/>
      </bottom>
      <diagonal/>
    </border>
    <border>
      <left/>
      <right/>
      <top/>
      <bottom style="medium">
        <color theme="8" tint="-0.24994659260841701"/>
      </bottom>
      <diagonal/>
    </border>
    <border>
      <left/>
      <right/>
      <top style="thin">
        <color theme="8" tint="-0.24994659260841701"/>
      </top>
      <bottom style="medium">
        <color theme="8" tint="-0.24994659260841701"/>
      </bottom>
      <diagonal/>
    </border>
    <border>
      <left/>
      <right/>
      <top style="medium">
        <color theme="8" tint="-0.24994659260841701"/>
      </top>
      <bottom/>
      <diagonal/>
    </border>
    <border>
      <left style="thin">
        <color rgb="FF3F3F3F"/>
      </left>
      <right style="thin">
        <color rgb="FF3F3F3F"/>
      </right>
      <top/>
      <bottom style="thin">
        <color rgb="FF3F3F3F"/>
      </bottom>
      <diagonal/>
    </border>
    <border>
      <left style="thin">
        <color rgb="FF7F7F7F"/>
      </left>
      <right style="thin">
        <color rgb="FF3F3F3F"/>
      </right>
      <top style="thin">
        <color auto="1"/>
      </top>
      <bottom style="thin">
        <color rgb="FF7F7F7F"/>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auto="1"/>
      </bottom>
      <diagonal/>
    </border>
    <border>
      <left style="thin">
        <color indexed="64"/>
      </left>
      <right style="medium">
        <color auto="1"/>
      </right>
      <top style="medium">
        <color indexed="64"/>
      </top>
      <bottom style="medium">
        <color auto="1"/>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auto="1"/>
      </left>
      <right/>
      <top/>
      <bottom/>
      <diagonal/>
    </border>
    <border>
      <left style="medium">
        <color auto="1"/>
      </left>
      <right/>
      <top/>
      <bottom style="medium">
        <color auto="1"/>
      </bottom>
      <diagonal/>
    </border>
    <border>
      <left style="medium">
        <color indexed="64"/>
      </left>
      <right style="medium">
        <color indexed="64"/>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7F7F7F"/>
      </left>
      <right/>
      <top/>
      <bottom style="thin">
        <color rgb="FF7F7F7F"/>
      </bottom>
      <diagonal/>
    </border>
  </borders>
  <cellStyleXfs count="5">
    <xf numFmtId="0" fontId="0" fillId="0" borderId="0"/>
    <xf numFmtId="0" fontId="2" fillId="5" borderId="2" applyNumberFormat="0" applyAlignment="0" applyProtection="0"/>
    <xf numFmtId="0" fontId="3" fillId="6" borderId="3" applyNumberFormat="0" applyAlignment="0" applyProtection="0"/>
    <xf numFmtId="0" fontId="12" fillId="0" borderId="0" applyNumberFormat="0" applyFill="0" applyBorder="0" applyAlignment="0" applyProtection="0"/>
    <xf numFmtId="0" fontId="22" fillId="0" borderId="0"/>
  </cellStyleXfs>
  <cellXfs count="334">
    <xf numFmtId="0" fontId="0" fillId="0" borderId="0" xfId="0"/>
    <xf numFmtId="0" fontId="0" fillId="2" borderId="0" xfId="0" applyFill="1"/>
    <xf numFmtId="0" fontId="0" fillId="3" borderId="0" xfId="0" applyFill="1"/>
    <xf numFmtId="0" fontId="0" fillId="0" borderId="0" xfId="0" applyAlignment="1">
      <alignment wrapText="1"/>
    </xf>
    <xf numFmtId="0" fontId="0" fillId="0" borderId="0" xfId="0" applyAlignment="1">
      <alignment horizontal="left" indent="1"/>
    </xf>
    <xf numFmtId="0" fontId="1" fillId="0" borderId="1" xfId="0" applyFont="1" applyBorder="1" applyAlignment="1">
      <alignment horizontal="left" indent="1"/>
    </xf>
    <xf numFmtId="0" fontId="0" fillId="0" borderId="0" xfId="0" applyAlignment="1">
      <alignment horizontal="left" vertical="center" wrapText="1" indent="1"/>
    </xf>
    <xf numFmtId="0" fontId="0" fillId="0" borderId="0" xfId="0" applyAlignment="1">
      <alignment horizontal="left" vertical="center" indent="1"/>
    </xf>
    <xf numFmtId="0" fontId="0" fillId="7" borderId="4" xfId="0" applyFill="1" applyBorder="1" applyAlignment="1">
      <alignment horizontal="left" vertical="center" indent="1"/>
    </xf>
    <xf numFmtId="0" fontId="0" fillId="0" borderId="0" xfId="0" applyAlignment="1">
      <alignment horizontal="right" indent="1"/>
    </xf>
    <xf numFmtId="0" fontId="2" fillId="5" borderId="2" xfId="1" applyAlignment="1">
      <alignment horizontal="left" indent="1"/>
    </xf>
    <xf numFmtId="0" fontId="0" fillId="0" borderId="1" xfId="0" applyBorder="1" applyAlignment="1">
      <alignment horizontal="center" shrinkToFit="1"/>
    </xf>
    <xf numFmtId="0" fontId="0" fillId="0" borderId="0" xfId="0" applyAlignment="1">
      <alignment horizontal="center" vertical="center" shrinkToFit="1"/>
    </xf>
    <xf numFmtId="0" fontId="0" fillId="0" borderId="0" xfId="0" applyAlignment="1">
      <alignment horizontal="center" vertical="center"/>
    </xf>
    <xf numFmtId="165" fontId="0" fillId="0" borderId="0" xfId="0" applyNumberFormat="1" applyAlignment="1">
      <alignment horizontal="right" vertical="center" indent="1" shrinkToFit="1"/>
    </xf>
    <xf numFmtId="164" fontId="0" fillId="0" borderId="0" xfId="0" applyNumberFormat="1" applyAlignment="1">
      <alignment horizontal="right" vertical="center" indent="1" shrinkToFit="1"/>
    </xf>
    <xf numFmtId="0" fontId="6" fillId="0" borderId="0" xfId="0" applyFont="1" applyAlignment="1">
      <alignment horizontal="center" vertical="center"/>
    </xf>
    <xf numFmtId="0" fontId="1" fillId="0" borderId="0" xfId="0" applyFont="1" applyAlignment="1">
      <alignment horizontal="center" vertical="center"/>
    </xf>
    <xf numFmtId="0" fontId="0" fillId="3" borderId="8" xfId="0" applyFill="1" applyBorder="1"/>
    <xf numFmtId="0" fontId="6" fillId="3" borderId="8" xfId="0" applyFont="1" applyFill="1" applyBorder="1" applyAlignment="1">
      <alignment horizontal="center" vertical="center"/>
    </xf>
    <xf numFmtId="0" fontId="0" fillId="3" borderId="7" xfId="0" applyFill="1" applyBorder="1"/>
    <xf numFmtId="0" fontId="6" fillId="3" borderId="1" xfId="0" applyFont="1" applyFill="1" applyBorder="1" applyAlignment="1">
      <alignment horizontal="center" vertical="center"/>
    </xf>
    <xf numFmtId="0" fontId="0" fillId="3" borderId="1" xfId="0" applyFill="1" applyBorder="1"/>
    <xf numFmtId="0" fontId="0" fillId="0" borderId="1" xfId="0" applyBorder="1" applyAlignment="1">
      <alignment horizontal="left" indent="1"/>
    </xf>
    <xf numFmtId="0" fontId="0" fillId="0" borderId="1" xfId="0" applyBorder="1" applyAlignment="1">
      <alignment horizontal="left" wrapText="1" indent="1"/>
    </xf>
    <xf numFmtId="0" fontId="0" fillId="9" borderId="9" xfId="0" applyFill="1" applyBorder="1" applyAlignment="1">
      <alignment horizontal="center" vertical="center" wrapText="1"/>
    </xf>
    <xf numFmtId="0" fontId="0" fillId="11" borderId="9" xfId="0" applyFill="1" applyBorder="1" applyAlignment="1">
      <alignment horizontal="center" vertical="center" wrapText="1"/>
    </xf>
    <xf numFmtId="0" fontId="0" fillId="12" borderId="9" xfId="0" applyFill="1" applyBorder="1" applyAlignment="1">
      <alignment horizontal="center" vertical="center" wrapText="1"/>
    </xf>
    <xf numFmtId="0" fontId="4" fillId="12" borderId="9" xfId="0" applyFont="1" applyFill="1" applyBorder="1" applyAlignment="1">
      <alignment horizontal="center" vertical="center" wrapText="1"/>
    </xf>
    <xf numFmtId="0" fontId="0" fillId="10" borderId="9" xfId="0" applyFill="1" applyBorder="1" applyAlignment="1">
      <alignment horizontal="center" vertical="center" wrapText="1"/>
    </xf>
    <xf numFmtId="0" fontId="0" fillId="13" borderId="9" xfId="0" applyFill="1" applyBorder="1" applyAlignment="1">
      <alignment horizontal="center" vertical="center" wrapText="1"/>
    </xf>
    <xf numFmtId="0" fontId="0" fillId="0" borderId="10" xfId="0" applyBorder="1" applyAlignment="1">
      <alignment horizontal="left" vertical="center" wrapText="1" indent="1"/>
    </xf>
    <xf numFmtId="166" fontId="0" fillId="0" borderId="10" xfId="0" applyNumberFormat="1" applyBorder="1" applyAlignment="1">
      <alignment horizontal="left" vertical="center" indent="1" shrinkToFit="1"/>
    </xf>
    <xf numFmtId="0" fontId="0" fillId="0" borderId="11" xfId="0" applyBorder="1" applyAlignment="1">
      <alignment horizontal="left" vertical="center" wrapText="1" indent="1"/>
    </xf>
    <xf numFmtId="166" fontId="0" fillId="0" borderId="11" xfId="0" applyNumberFormat="1" applyBorder="1" applyAlignment="1">
      <alignment horizontal="left" vertical="center" indent="1" shrinkToFit="1"/>
    </xf>
    <xf numFmtId="0" fontId="0" fillId="0" borderId="11" xfId="0" applyFill="1" applyBorder="1" applyAlignment="1">
      <alignment horizontal="left" vertical="center" wrapText="1" indent="1"/>
    </xf>
    <xf numFmtId="0" fontId="1" fillId="0" borderId="0" xfId="0" applyFont="1" applyAlignment="1">
      <alignment horizontal="left" indent="1"/>
    </xf>
    <xf numFmtId="0" fontId="6" fillId="0" borderId="0" xfId="0" applyFont="1" applyAlignment="1">
      <alignment horizontal="left" indent="1"/>
    </xf>
    <xf numFmtId="0" fontId="0" fillId="14" borderId="0" xfId="0" applyFill="1"/>
    <xf numFmtId="0" fontId="0" fillId="10" borderId="5" xfId="0" applyFill="1" applyBorder="1" applyAlignment="1">
      <alignment horizontal="right" indent="1" shrinkToFit="1"/>
    </xf>
    <xf numFmtId="0" fontId="0" fillId="9" borderId="5" xfId="0" applyFill="1" applyBorder="1" applyAlignment="1">
      <alignment horizontal="right" indent="1" shrinkToFit="1"/>
    </xf>
    <xf numFmtId="0" fontId="0" fillId="11" borderId="5" xfId="0" applyFill="1" applyBorder="1" applyAlignment="1">
      <alignment horizontal="right" indent="1" shrinkToFit="1"/>
    </xf>
    <xf numFmtId="0" fontId="0" fillId="12" borderId="5" xfId="0" applyFill="1" applyBorder="1" applyAlignment="1">
      <alignment horizontal="right" indent="1" shrinkToFit="1"/>
    </xf>
    <xf numFmtId="0" fontId="0" fillId="0" borderId="0" xfId="0" applyNumberFormat="1" applyAlignment="1">
      <alignment horizontal="center" vertical="center" shrinkToFit="1"/>
    </xf>
    <xf numFmtId="167" fontId="0" fillId="0" borderId="0" xfId="0" applyNumberFormat="1" applyAlignment="1">
      <alignment horizontal="center" vertical="center" shrinkToFit="1"/>
    </xf>
    <xf numFmtId="3" fontId="0" fillId="0" borderId="0" xfId="0" applyNumberFormat="1" applyAlignment="1">
      <alignment horizontal="center" vertical="center" shrinkToFit="1"/>
    </xf>
    <xf numFmtId="0" fontId="0" fillId="0" borderId="0" xfId="0" applyFill="1" applyBorder="1" applyAlignment="1">
      <alignment horizontal="left" vertical="center" indent="1"/>
    </xf>
    <xf numFmtId="0" fontId="9" fillId="13" borderId="5" xfId="0" applyFont="1" applyFill="1" applyBorder="1" applyAlignment="1">
      <alignment horizontal="right" indent="1" shrinkToFit="1"/>
    </xf>
    <xf numFmtId="0" fontId="1" fillId="3" borderId="0" xfId="0" applyFont="1" applyFill="1" applyAlignment="1">
      <alignment horizontal="right" indent="1"/>
    </xf>
    <xf numFmtId="0" fontId="0" fillId="3" borderId="0" xfId="0" applyFill="1" applyAlignment="1">
      <alignment horizontal="left" indent="1"/>
    </xf>
    <xf numFmtId="0" fontId="0" fillId="2" borderId="19" xfId="0" applyFill="1" applyBorder="1"/>
    <xf numFmtId="0" fontId="0" fillId="2" borderId="21" xfId="0" applyFill="1" applyBorder="1"/>
    <xf numFmtId="0" fontId="0" fillId="2" borderId="20" xfId="0" applyFill="1" applyBorder="1"/>
    <xf numFmtId="0" fontId="0" fillId="2" borderId="22" xfId="0" applyFill="1" applyBorder="1"/>
    <xf numFmtId="0" fontId="0" fillId="2" borderId="23" xfId="0" applyFill="1" applyBorder="1"/>
    <xf numFmtId="0" fontId="0" fillId="2" borderId="25" xfId="0" applyFill="1" applyBorder="1"/>
    <xf numFmtId="0" fontId="0" fillId="2" borderId="26" xfId="0" applyFill="1" applyBorder="1"/>
    <xf numFmtId="0" fontId="0" fillId="2" borderId="24" xfId="0" applyFill="1" applyBorder="1"/>
    <xf numFmtId="0" fontId="0" fillId="2" borderId="27" xfId="0" applyFill="1" applyBorder="1"/>
    <xf numFmtId="0" fontId="0" fillId="15" borderId="0" xfId="0" applyFill="1"/>
    <xf numFmtId="0" fontId="11" fillId="3" borderId="0" xfId="0" applyFont="1" applyFill="1" applyAlignment="1">
      <alignment horizontal="left" indent="1"/>
    </xf>
    <xf numFmtId="0" fontId="10" fillId="2" borderId="24" xfId="0" applyFont="1" applyFill="1" applyBorder="1" applyAlignment="1">
      <alignment horizontal="right" indent="6"/>
    </xf>
    <xf numFmtId="0" fontId="0" fillId="3" borderId="0" xfId="0" applyFill="1" applyAlignment="1">
      <alignment horizontal="right" indent="1"/>
    </xf>
    <xf numFmtId="0" fontId="1" fillId="0" borderId="0" xfId="0" applyFont="1" applyFill="1" applyBorder="1" applyAlignment="1">
      <alignment horizontal="left" vertical="center" wrapText="1" indent="1"/>
    </xf>
    <xf numFmtId="169" fontId="3" fillId="6" borderId="3" xfId="2" applyNumberFormat="1" applyAlignment="1">
      <alignment horizontal="right" indent="1" shrinkToFit="1"/>
    </xf>
    <xf numFmtId="9" fontId="3" fillId="6" borderId="3" xfId="2" applyNumberFormat="1" applyAlignment="1">
      <alignment horizontal="right" indent="1"/>
    </xf>
    <xf numFmtId="0" fontId="15" fillId="16" borderId="29" xfId="0" applyFont="1" applyFill="1" applyBorder="1" applyAlignment="1">
      <alignment horizontal="left" vertical="center" indent="1"/>
    </xf>
    <xf numFmtId="0" fontId="14" fillId="16" borderId="29" xfId="0" applyFont="1" applyFill="1" applyBorder="1" applyAlignment="1">
      <alignment horizontal="left" vertical="center" indent="1"/>
    </xf>
    <xf numFmtId="0" fontId="14" fillId="17" borderId="28" xfId="0" applyFont="1" applyFill="1" applyBorder="1" applyAlignment="1">
      <alignment horizontal="left" vertical="center" indent="1"/>
    </xf>
    <xf numFmtId="0" fontId="2" fillId="3" borderId="0" xfId="1" applyFill="1" applyBorder="1" applyAlignment="1">
      <alignment horizontal="left" indent="1"/>
    </xf>
    <xf numFmtId="0" fontId="3" fillId="3" borderId="0" xfId="2" applyFill="1" applyBorder="1" applyAlignment="1">
      <alignment horizontal="left" indent="1"/>
    </xf>
    <xf numFmtId="0" fontId="3" fillId="6" borderId="3" xfId="2" applyBorder="1" applyAlignment="1">
      <alignment horizontal="left" indent="1"/>
    </xf>
    <xf numFmtId="2" fontId="0" fillId="0" borderId="0" xfId="0" applyNumberFormat="1" applyAlignment="1">
      <alignment horizontal="center" vertical="center" shrinkToFit="1"/>
    </xf>
    <xf numFmtId="172" fontId="0" fillId="0" borderId="11" xfId="0" applyNumberFormat="1" applyBorder="1" applyAlignment="1">
      <alignment horizontal="left" vertical="center" indent="1" shrinkToFi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1" fillId="3" borderId="0" xfId="0" applyFont="1" applyFill="1" applyAlignment="1">
      <alignment horizontal="left" indent="1"/>
    </xf>
    <xf numFmtId="0" fontId="2" fillId="3" borderId="0" xfId="1" quotePrefix="1" applyFill="1" applyBorder="1" applyAlignment="1">
      <alignment horizontal="left"/>
    </xf>
    <xf numFmtId="0" fontId="13" fillId="3" borderId="0" xfId="0" applyFont="1" applyFill="1" applyAlignment="1">
      <alignment horizontal="left" indent="1"/>
    </xf>
    <xf numFmtId="0" fontId="1" fillId="4" borderId="5" xfId="0" applyFont="1" applyFill="1" applyBorder="1" applyAlignment="1">
      <alignment horizontal="left" wrapText="1" indent="1"/>
    </xf>
    <xf numFmtId="0" fontId="0" fillId="4" borderId="5" xfId="0" applyFill="1" applyBorder="1" applyAlignment="1">
      <alignment horizontal="left" indent="1" shrinkToFit="1"/>
    </xf>
    <xf numFmtId="0" fontId="2" fillId="5" borderId="6" xfId="1" applyBorder="1" applyAlignment="1">
      <alignment horizontal="left" indent="1" shrinkToFit="1"/>
    </xf>
    <xf numFmtId="170" fontId="2" fillId="5" borderId="6" xfId="1" applyNumberFormat="1" applyBorder="1" applyAlignment="1">
      <alignment horizontal="left" indent="1" shrinkToFit="1"/>
    </xf>
    <xf numFmtId="14" fontId="2" fillId="5" borderId="6" xfId="1" applyNumberFormat="1" applyBorder="1" applyAlignment="1">
      <alignment horizontal="left" indent="1" shrinkToFit="1"/>
    </xf>
    <xf numFmtId="0" fontId="3" fillId="6" borderId="31" xfId="2" applyNumberFormat="1" applyBorder="1" applyAlignment="1">
      <alignment horizontal="center" shrinkToFit="1"/>
    </xf>
    <xf numFmtId="0" fontId="2" fillId="5" borderId="6" xfId="1" applyBorder="1" applyAlignment="1">
      <alignment horizontal="right" indent="1" shrinkToFit="1"/>
    </xf>
    <xf numFmtId="0" fontId="2" fillId="5" borderId="6" xfId="1" applyBorder="1" applyAlignment="1">
      <alignment horizontal="center" shrinkToFit="1"/>
    </xf>
    <xf numFmtId="0" fontId="3" fillId="6" borderId="31" xfId="2" applyBorder="1" applyAlignment="1">
      <alignment horizontal="center" shrinkToFit="1"/>
    </xf>
    <xf numFmtId="0" fontId="1" fillId="0" borderId="5" xfId="0" applyFont="1" applyBorder="1" applyAlignment="1">
      <alignment horizontal="left" wrapText="1" indent="1"/>
    </xf>
    <xf numFmtId="0" fontId="0" fillId="0" borderId="5" xfId="0" applyFill="1" applyBorder="1" applyAlignment="1">
      <alignment horizontal="left" wrapText="1" indent="1"/>
    </xf>
    <xf numFmtId="169" fontId="3" fillId="6" borderId="32" xfId="2" applyNumberFormat="1" applyBorder="1" applyAlignment="1">
      <alignment horizontal="right" indent="1" shrinkToFit="1"/>
    </xf>
    <xf numFmtId="0" fontId="2" fillId="5" borderId="2" xfId="1" applyAlignment="1">
      <alignment horizontal="center" vertical="center"/>
    </xf>
    <xf numFmtId="168" fontId="0" fillId="0" borderId="11" xfId="0" applyNumberFormat="1" applyBorder="1" applyAlignment="1">
      <alignment horizontal="left" wrapText="1"/>
    </xf>
    <xf numFmtId="168" fontId="0" fillId="0" borderId="5" xfId="0" applyNumberFormat="1" applyBorder="1" applyAlignment="1">
      <alignment horizontal="left" wrapText="1"/>
    </xf>
    <xf numFmtId="0" fontId="0" fillId="0" borderId="0" xfId="0" applyAlignment="1">
      <alignment horizontal="left" wrapText="1"/>
    </xf>
    <xf numFmtId="168" fontId="1" fillId="0" borderId="5" xfId="0" applyNumberFormat="1" applyFont="1" applyFill="1" applyBorder="1" applyAlignment="1">
      <alignment horizontal="left" wrapText="1"/>
    </xf>
    <xf numFmtId="173" fontId="2" fillId="5" borderId="6" xfId="1" applyNumberFormat="1" applyBorder="1" applyAlignment="1">
      <alignment horizontal="left" indent="1" shrinkToFit="1"/>
    </xf>
    <xf numFmtId="0" fontId="0" fillId="0" borderId="12" xfId="0" applyBorder="1"/>
    <xf numFmtId="0" fontId="0" fillId="0" borderId="33" xfId="0" applyBorder="1"/>
    <xf numFmtId="0" fontId="0" fillId="0" borderId="14" xfId="0" applyBorder="1"/>
    <xf numFmtId="0" fontId="0" fillId="0" borderId="34" xfId="0" applyBorder="1"/>
    <xf numFmtId="0" fontId="0" fillId="0" borderId="9" xfId="0" applyBorder="1"/>
    <xf numFmtId="0" fontId="0" fillId="0" borderId="35" xfId="0" applyBorder="1"/>
    <xf numFmtId="0" fontId="0" fillId="0" borderId="17" xfId="0" applyBorder="1"/>
    <xf numFmtId="0" fontId="0" fillId="0" borderId="36" xfId="0" applyBorder="1"/>
    <xf numFmtId="0" fontId="0" fillId="0" borderId="18" xfId="0" applyBorder="1"/>
    <xf numFmtId="0" fontId="19" fillId="3" borderId="0" xfId="1" quotePrefix="1" applyFont="1" applyFill="1" applyBorder="1" applyAlignment="1">
      <alignment horizontal="left" indent="4"/>
    </xf>
    <xf numFmtId="0" fontId="0" fillId="3" borderId="0" xfId="0" applyFont="1" applyFill="1" applyAlignment="1">
      <alignment horizontal="left" indent="1"/>
    </xf>
    <xf numFmtId="0" fontId="1" fillId="0" borderId="0" xfId="0" applyFont="1" applyAlignment="1">
      <alignment horizontal="center" vertical="center" shrinkToFit="1"/>
    </xf>
    <xf numFmtId="0" fontId="1" fillId="7" borderId="4" xfId="0" applyFont="1" applyFill="1" applyBorder="1" applyAlignment="1">
      <alignment horizontal="left" vertical="center" indent="1"/>
    </xf>
    <xf numFmtId="0" fontId="12" fillId="3" borderId="0" xfId="3" applyFill="1"/>
    <xf numFmtId="0" fontId="13" fillId="0" borderId="0" xfId="0" applyFont="1"/>
    <xf numFmtId="0" fontId="2" fillId="5" borderId="2" xfId="1" applyBorder="1" applyAlignment="1">
      <alignment horizontal="left" indent="1"/>
    </xf>
    <xf numFmtId="0" fontId="2" fillId="5" borderId="6" xfId="1" applyBorder="1" applyAlignment="1">
      <alignment horizontal="left" indent="1"/>
    </xf>
    <xf numFmtId="174" fontId="3" fillId="6" borderId="3" xfId="2" applyNumberFormat="1" applyAlignment="1">
      <alignment horizontal="left" indent="1"/>
    </xf>
    <xf numFmtId="0" fontId="1" fillId="18" borderId="5" xfId="0" applyFont="1" applyFill="1" applyBorder="1" applyAlignment="1">
      <alignment horizontal="left" wrapText="1" indent="1"/>
    </xf>
    <xf numFmtId="0" fontId="21" fillId="18" borderId="5" xfId="0" applyFont="1" applyFill="1" applyBorder="1" applyAlignment="1">
      <alignment horizontal="left" wrapText="1" indent="1"/>
    </xf>
    <xf numFmtId="0" fontId="23" fillId="9" borderId="0" xfId="4" applyFont="1" applyFill="1" applyAlignment="1">
      <alignment horizontal="center"/>
    </xf>
    <xf numFmtId="0" fontId="1" fillId="0" borderId="0" xfId="4" applyFont="1" applyAlignment="1">
      <alignment horizontal="left" indent="1"/>
    </xf>
    <xf numFmtId="0" fontId="0" fillId="3" borderId="12" xfId="4" applyFont="1" applyFill="1" applyBorder="1" applyAlignment="1">
      <alignment horizontal="left"/>
    </xf>
    <xf numFmtId="0" fontId="22" fillId="3" borderId="13" xfId="4" applyFill="1" applyBorder="1" applyAlignment="1"/>
    <xf numFmtId="0" fontId="22" fillId="3" borderId="14" xfId="4" applyFill="1" applyBorder="1" applyAlignment="1"/>
    <xf numFmtId="0" fontId="22" fillId="0" borderId="0" xfId="4" applyAlignment="1"/>
    <xf numFmtId="0" fontId="22" fillId="3" borderId="15" xfId="4" applyFill="1" applyBorder="1" applyAlignment="1"/>
    <xf numFmtId="0" fontId="22" fillId="3" borderId="12" xfId="4" applyFill="1" applyBorder="1" applyAlignment="1">
      <alignment horizontal="left"/>
    </xf>
    <xf numFmtId="0" fontId="22" fillId="4" borderId="12" xfId="4" applyFill="1" applyBorder="1" applyAlignment="1">
      <alignment horizontal="left"/>
    </xf>
    <xf numFmtId="0" fontId="22" fillId="4" borderId="13" xfId="4" applyFill="1" applyBorder="1" applyAlignment="1"/>
    <xf numFmtId="0" fontId="22" fillId="4" borderId="14" xfId="4" applyFill="1" applyBorder="1" applyAlignment="1"/>
    <xf numFmtId="0" fontId="22" fillId="4" borderId="15" xfId="4" applyFill="1" applyBorder="1" applyAlignment="1"/>
    <xf numFmtId="0" fontId="22" fillId="3" borderId="15" xfId="4" applyFill="1" applyBorder="1" applyAlignment="1">
      <alignment horizontal="left"/>
    </xf>
    <xf numFmtId="0" fontId="22" fillId="0" borderId="14" xfId="4" applyBorder="1" applyAlignment="1"/>
    <xf numFmtId="0" fontId="22" fillId="0" borderId="16" xfId="4" applyBorder="1" applyAlignment="1"/>
    <xf numFmtId="0" fontId="22" fillId="0" borderId="18" xfId="4" applyBorder="1" applyAlignment="1"/>
    <xf numFmtId="0" fontId="1" fillId="0" borderId="1" xfId="4" applyFont="1" applyBorder="1" applyAlignment="1">
      <alignment horizontal="left" indent="1"/>
    </xf>
    <xf numFmtId="9" fontId="22" fillId="3" borderId="37" xfId="4" applyNumberFormat="1" applyFill="1" applyBorder="1" applyAlignment="1">
      <alignment horizontal="center" vertical="center"/>
    </xf>
    <xf numFmtId="9" fontId="22" fillId="4" borderId="37" xfId="4" applyNumberFormat="1" applyFill="1" applyBorder="1" applyAlignment="1">
      <alignment horizontal="center" vertical="center"/>
    </xf>
    <xf numFmtId="0" fontId="1" fillId="3" borderId="38" xfId="4" applyFont="1" applyFill="1" applyBorder="1" applyAlignment="1">
      <alignment horizontal="left" indent="1"/>
    </xf>
    <xf numFmtId="0" fontId="24" fillId="0" borderId="0" xfId="4" applyFont="1" applyAlignment="1">
      <alignment horizontal="left" vertical="center" indent="1"/>
    </xf>
    <xf numFmtId="0" fontId="18" fillId="0" borderId="39" xfId="4" applyNumberFormat="1" applyFont="1" applyBorder="1" applyAlignment="1">
      <alignment horizontal="center" vertical="center"/>
    </xf>
    <xf numFmtId="0" fontId="0" fillId="0" borderId="39" xfId="4" applyNumberFormat="1" applyFont="1" applyBorder="1" applyAlignment="1">
      <alignment horizontal="center" vertical="center"/>
    </xf>
    <xf numFmtId="0" fontId="0" fillId="4" borderId="39" xfId="4" applyNumberFormat="1" applyFont="1" applyFill="1" applyBorder="1" applyAlignment="1">
      <alignment horizontal="center" vertical="center"/>
    </xf>
    <xf numFmtId="0" fontId="22" fillId="0" borderId="39" xfId="4" applyNumberFormat="1" applyBorder="1" applyAlignment="1">
      <alignment horizontal="center" vertical="center"/>
    </xf>
    <xf numFmtId="0" fontId="22" fillId="0" borderId="0" xfId="4" applyAlignment="1">
      <alignment horizontal="left" indent="1"/>
    </xf>
    <xf numFmtId="0" fontId="18" fillId="0" borderId="40" xfId="4" applyNumberFormat="1" applyFont="1" applyBorder="1" applyAlignment="1">
      <alignment horizontal="center" vertical="center"/>
    </xf>
    <xf numFmtId="0" fontId="0" fillId="0" borderId="40" xfId="4" applyNumberFormat="1" applyFont="1" applyBorder="1" applyAlignment="1">
      <alignment horizontal="center" vertical="center"/>
    </xf>
    <xf numFmtId="0" fontId="0" fillId="4" borderId="40" xfId="4" applyNumberFormat="1" applyFont="1" applyFill="1" applyBorder="1" applyAlignment="1">
      <alignment horizontal="center" vertical="center"/>
    </xf>
    <xf numFmtId="0" fontId="22" fillId="0" borderId="40" xfId="4" applyNumberFormat="1" applyBorder="1" applyAlignment="1">
      <alignment horizontal="center" vertical="center"/>
    </xf>
    <xf numFmtId="0" fontId="22" fillId="0" borderId="0" xfId="4" applyFont="1" applyAlignment="1">
      <alignment horizontal="left" vertical="center" indent="1"/>
    </xf>
    <xf numFmtId="0" fontId="22" fillId="0" borderId="41" xfId="4" applyBorder="1"/>
    <xf numFmtId="0" fontId="26" fillId="0" borderId="0" xfId="4" applyFont="1" applyAlignment="1">
      <alignment horizontal="left" vertical="center" indent="1"/>
    </xf>
    <xf numFmtId="0" fontId="22" fillId="3" borderId="12" xfId="4" applyFill="1" applyBorder="1"/>
    <xf numFmtId="0" fontId="22" fillId="4" borderId="12" xfId="4" applyFill="1" applyBorder="1"/>
    <xf numFmtId="0" fontId="24" fillId="0" borderId="0" xfId="4" applyFont="1" applyAlignment="1">
      <alignment horizontal="left" vertical="center" wrapText="1" indent="1"/>
    </xf>
    <xf numFmtId="0" fontId="22" fillId="3" borderId="15" xfId="4" applyFill="1" applyBorder="1"/>
    <xf numFmtId="0" fontId="22" fillId="4" borderId="15" xfId="4" applyFill="1" applyBorder="1"/>
    <xf numFmtId="0" fontId="22" fillId="0" borderId="46" xfId="4" applyBorder="1" applyAlignment="1">
      <alignment horizontal="right"/>
    </xf>
    <xf numFmtId="0" fontId="22" fillId="0" borderId="49" xfId="4" applyBorder="1" applyAlignment="1">
      <alignment horizontal="center" vertical="center"/>
    </xf>
    <xf numFmtId="0" fontId="22" fillId="0" borderId="46" xfId="4" applyBorder="1" applyAlignment="1">
      <alignment horizontal="center" vertical="center"/>
    </xf>
    <xf numFmtId="0" fontId="22" fillId="0" borderId="47" xfId="4" applyBorder="1" applyAlignment="1">
      <alignment shrinkToFit="1"/>
    </xf>
    <xf numFmtId="0" fontId="22" fillId="0" borderId="48" xfId="4" applyBorder="1" applyAlignment="1">
      <alignment shrinkToFit="1"/>
    </xf>
    <xf numFmtId="9" fontId="22" fillId="0" borderId="50" xfId="4" applyNumberFormat="1" applyBorder="1" applyAlignment="1">
      <alignment horizontal="right" vertical="center" indent="1" shrinkToFit="1"/>
    </xf>
    <xf numFmtId="9" fontId="22" fillId="0" borderId="40" xfId="4" applyNumberFormat="1" applyBorder="1" applyAlignment="1">
      <alignment horizontal="right" vertical="center" indent="1" shrinkToFit="1"/>
    </xf>
    <xf numFmtId="9" fontId="22" fillId="0" borderId="47" xfId="4" applyNumberFormat="1" applyBorder="1" applyAlignment="1">
      <alignment horizontal="right" vertical="center" indent="1" shrinkToFit="1"/>
    </xf>
    <xf numFmtId="0" fontId="22" fillId="0" borderId="48" xfId="4" applyBorder="1" applyAlignment="1">
      <alignment horizontal="right" vertical="center" indent="1" shrinkToFit="1"/>
    </xf>
    <xf numFmtId="0" fontId="27" fillId="0" borderId="0" xfId="4" applyFont="1" applyAlignment="1">
      <alignment horizontal="left" indent="2"/>
    </xf>
    <xf numFmtId="0" fontId="4" fillId="20" borderId="0" xfId="0" applyFont="1" applyFill="1" applyAlignment="1">
      <alignment horizontal="left" indent="1"/>
    </xf>
    <xf numFmtId="0" fontId="10" fillId="20" borderId="0" xfId="0" applyFont="1" applyFill="1"/>
    <xf numFmtId="0" fontId="28" fillId="0" borderId="51" xfId="0" applyFont="1" applyBorder="1" applyAlignment="1">
      <alignment horizontal="center" vertical="center" wrapText="1" readingOrder="1"/>
    </xf>
    <xf numFmtId="0" fontId="28" fillId="0" borderId="51" xfId="0" applyFont="1" applyBorder="1" applyAlignment="1">
      <alignment horizontal="left" vertical="center" wrapText="1" indent="1" readingOrder="1"/>
    </xf>
    <xf numFmtId="0" fontId="29" fillId="21" borderId="52" xfId="0" applyFont="1" applyFill="1" applyBorder="1" applyAlignment="1">
      <alignment horizontal="left" vertical="center" wrapText="1" indent="1" readingOrder="1"/>
    </xf>
    <xf numFmtId="0" fontId="29" fillId="21" borderId="53" xfId="0" applyFont="1" applyFill="1" applyBorder="1" applyAlignment="1">
      <alignment horizontal="left" vertical="center" wrapText="1" indent="1" readingOrder="1"/>
    </xf>
    <xf numFmtId="0" fontId="29" fillId="21" borderId="54" xfId="0" applyFont="1" applyFill="1" applyBorder="1" applyAlignment="1">
      <alignment horizontal="left" vertical="center" wrapText="1" indent="1" readingOrder="1"/>
    </xf>
    <xf numFmtId="0" fontId="29" fillId="22" borderId="52" xfId="0" applyFont="1" applyFill="1" applyBorder="1" applyAlignment="1">
      <alignment horizontal="left" vertical="center" wrapText="1" indent="1" readingOrder="1"/>
    </xf>
    <xf numFmtId="0" fontId="29" fillId="0" borderId="52" xfId="0" applyFont="1" applyBorder="1" applyAlignment="1">
      <alignment horizontal="center" vertical="center" wrapText="1" readingOrder="1"/>
    </xf>
    <xf numFmtId="0" fontId="29" fillId="22" borderId="54" xfId="0" applyFont="1" applyFill="1" applyBorder="1" applyAlignment="1">
      <alignment horizontal="left" vertical="center" wrapText="1" indent="1" readingOrder="1"/>
    </xf>
    <xf numFmtId="0" fontId="29" fillId="0" borderId="53" xfId="0" applyFont="1" applyBorder="1" applyAlignment="1">
      <alignment horizontal="center" vertical="center" wrapText="1" readingOrder="1"/>
    </xf>
    <xf numFmtId="0" fontId="29" fillId="23" borderId="52" xfId="0" applyFont="1" applyFill="1" applyBorder="1" applyAlignment="1">
      <alignment horizontal="left" vertical="center" wrapText="1" indent="1" readingOrder="1"/>
    </xf>
    <xf numFmtId="0" fontId="29" fillId="11" borderId="52" xfId="0" applyFont="1" applyFill="1" applyBorder="1" applyAlignment="1">
      <alignment horizontal="left" vertical="center" wrapText="1" indent="1" readingOrder="1"/>
    </xf>
    <xf numFmtId="0" fontId="30" fillId="23" borderId="53" xfId="0" applyFont="1" applyFill="1" applyBorder="1" applyAlignment="1">
      <alignment horizontal="left" vertical="center" wrapText="1" indent="1" readingOrder="1"/>
    </xf>
    <xf numFmtId="0" fontId="29" fillId="11" borderId="53" xfId="0" applyFont="1" applyFill="1" applyBorder="1" applyAlignment="1">
      <alignment horizontal="left" vertical="center" wrapText="1" indent="1" readingOrder="1"/>
    </xf>
    <xf numFmtId="0" fontId="0" fillId="23" borderId="54" xfId="0" applyFont="1" applyFill="1" applyBorder="1" applyAlignment="1">
      <alignment horizontal="left" vertical="center" wrapText="1" indent="1"/>
    </xf>
    <xf numFmtId="0" fontId="29" fillId="11" borderId="54" xfId="0" applyFont="1" applyFill="1" applyBorder="1" applyAlignment="1">
      <alignment horizontal="left" vertical="center" wrapText="1" indent="1" readingOrder="1"/>
    </xf>
    <xf numFmtId="0" fontId="29" fillId="0" borderId="51" xfId="0" applyFont="1" applyBorder="1" applyAlignment="1">
      <alignment horizontal="center" vertical="center" wrapText="1" readingOrder="1"/>
    </xf>
    <xf numFmtId="0" fontId="31" fillId="0" borderId="51" xfId="0" applyFont="1" applyBorder="1" applyAlignment="1">
      <alignment horizontal="left" vertical="center" wrapText="1" indent="1" readingOrder="1"/>
    </xf>
    <xf numFmtId="0" fontId="29" fillId="0" borderId="51" xfId="0" applyFont="1" applyBorder="1" applyAlignment="1">
      <alignment horizontal="left" vertical="center" wrapText="1" indent="1" readingOrder="1"/>
    </xf>
    <xf numFmtId="0" fontId="29" fillId="11" borderId="51" xfId="0" applyFont="1" applyFill="1" applyBorder="1" applyAlignment="1">
      <alignment horizontal="left" vertical="center" wrapText="1" indent="1" readingOrder="1"/>
    </xf>
    <xf numFmtId="0" fontId="26" fillId="0" borderId="55" xfId="4" applyFont="1" applyFill="1" applyBorder="1" applyAlignment="1">
      <alignment horizontal="left" vertical="center" wrapText="1" indent="1"/>
    </xf>
    <xf numFmtId="0" fontId="4" fillId="24" borderId="0" xfId="4" applyFont="1" applyFill="1" applyAlignment="1">
      <alignment horizontal="left" indent="1"/>
    </xf>
    <xf numFmtId="0" fontId="4" fillId="24" borderId="0" xfId="0" applyFont="1" applyFill="1" applyAlignment="1">
      <alignment horizontal="left" indent="1"/>
    </xf>
    <xf numFmtId="0" fontId="10" fillId="24" borderId="0" xfId="0" applyFont="1" applyFill="1"/>
    <xf numFmtId="0" fontId="1" fillId="0" borderId="1" xfId="0" applyFont="1" applyBorder="1" applyAlignment="1">
      <alignment horizontal="right" indent="1"/>
    </xf>
    <xf numFmtId="0" fontId="0" fillId="0" borderId="13" xfId="0" applyBorder="1" applyAlignment="1">
      <alignment horizontal="left" indent="1"/>
    </xf>
    <xf numFmtId="0" fontId="17" fillId="0" borderId="1" xfId="0" applyFont="1" applyBorder="1" applyAlignment="1">
      <alignment horizontal="left" vertical="center" indent="1"/>
    </xf>
    <xf numFmtId="9" fontId="0" fillId="0" borderId="0" xfId="0" applyNumberFormat="1" applyAlignment="1">
      <alignment horizontal="right" indent="1"/>
    </xf>
    <xf numFmtId="0" fontId="2" fillId="5" borderId="2" xfId="1" applyAlignment="1">
      <alignment horizontal="center"/>
    </xf>
    <xf numFmtId="0" fontId="33" fillId="0" borderId="0" xfId="0" applyFont="1"/>
    <xf numFmtId="0" fontId="33" fillId="0" borderId="16" xfId="0" applyFont="1" applyBorder="1"/>
    <xf numFmtId="0" fontId="33" fillId="0" borderId="40" xfId="0" applyFont="1" applyBorder="1"/>
    <xf numFmtId="0" fontId="33" fillId="0" borderId="15" xfId="0" applyFont="1" applyBorder="1"/>
    <xf numFmtId="0" fontId="0" fillId="0" borderId="73" xfId="0" applyBorder="1" applyAlignment="1">
      <alignment horizontal="left" indent="1"/>
    </xf>
    <xf numFmtId="0" fontId="0" fillId="0" borderId="74" xfId="0" applyBorder="1" applyAlignment="1">
      <alignment horizontal="left" indent="1"/>
    </xf>
    <xf numFmtId="0" fontId="34" fillId="0" borderId="56" xfId="0" applyFont="1" applyBorder="1" applyAlignment="1">
      <alignment horizontal="center" vertical="center" wrapText="1"/>
    </xf>
    <xf numFmtId="175" fontId="34" fillId="21" borderId="59" xfId="0" applyNumberFormat="1" applyFont="1" applyFill="1" applyBorder="1" applyAlignment="1">
      <alignment horizontal="center" vertical="center" shrinkToFit="1"/>
    </xf>
    <xf numFmtId="175" fontId="34" fillId="23" borderId="60" xfId="0" applyNumberFormat="1" applyFont="1" applyFill="1" applyBorder="1" applyAlignment="1">
      <alignment horizontal="center" vertical="center" shrinkToFit="1"/>
    </xf>
    <xf numFmtId="175" fontId="34" fillId="9" borderId="60" xfId="0" applyNumberFormat="1" applyFont="1" applyFill="1" applyBorder="1" applyAlignment="1">
      <alignment horizontal="center" vertical="center" shrinkToFit="1"/>
    </xf>
    <xf numFmtId="175" fontId="34" fillId="11" borderId="60" xfId="0" applyNumberFormat="1" applyFont="1" applyFill="1" applyBorder="1" applyAlignment="1">
      <alignment horizontal="center" vertical="center" shrinkToFit="1"/>
    </xf>
    <xf numFmtId="175" fontId="34" fillId="21" borderId="61" xfId="0" applyNumberFormat="1" applyFont="1" applyFill="1" applyBorder="1" applyAlignment="1">
      <alignment horizontal="center" vertical="center" shrinkToFit="1"/>
    </xf>
    <xf numFmtId="176" fontId="34" fillId="0" borderId="62" xfId="0" applyNumberFormat="1" applyFont="1" applyBorder="1" applyAlignment="1">
      <alignment horizontal="center" vertical="center" wrapText="1"/>
    </xf>
    <xf numFmtId="177" fontId="34" fillId="21" borderId="63" xfId="0" applyNumberFormat="1" applyFont="1" applyFill="1" applyBorder="1" applyAlignment="1">
      <alignment horizontal="center" vertical="center" shrinkToFit="1"/>
    </xf>
    <xf numFmtId="177" fontId="34" fillId="9" borderId="64" xfId="0" applyNumberFormat="1" applyFont="1" applyFill="1" applyBorder="1" applyAlignment="1">
      <alignment horizontal="center" vertical="center" shrinkToFit="1"/>
    </xf>
    <xf numFmtId="177" fontId="34" fillId="21" borderId="64" xfId="0" applyNumberFormat="1" applyFont="1" applyFill="1" applyBorder="1" applyAlignment="1">
      <alignment horizontal="center" vertical="center" shrinkToFit="1"/>
    </xf>
    <xf numFmtId="177" fontId="34" fillId="21" borderId="65" xfId="0" applyNumberFormat="1" applyFont="1" applyFill="1" applyBorder="1" applyAlignment="1">
      <alignment horizontal="center" vertical="center" shrinkToFit="1"/>
    </xf>
    <xf numFmtId="176" fontId="34" fillId="0" borderId="66" xfId="0" applyNumberFormat="1" applyFont="1" applyBorder="1" applyAlignment="1">
      <alignment horizontal="center" vertical="center" wrapText="1"/>
    </xf>
    <xf numFmtId="177" fontId="34" fillId="21" borderId="67" xfId="0" applyNumberFormat="1" applyFont="1" applyFill="1" applyBorder="1" applyAlignment="1">
      <alignment horizontal="center" vertical="center" shrinkToFit="1"/>
    </xf>
    <xf numFmtId="177" fontId="34" fillId="9" borderId="9" xfId="0" applyNumberFormat="1" applyFont="1" applyFill="1" applyBorder="1" applyAlignment="1">
      <alignment horizontal="center" vertical="center" shrinkToFit="1"/>
    </xf>
    <xf numFmtId="177" fontId="34" fillId="23" borderId="9" xfId="0" applyNumberFormat="1" applyFont="1" applyFill="1" applyBorder="1" applyAlignment="1">
      <alignment horizontal="center" vertical="center" shrinkToFit="1"/>
    </xf>
    <xf numFmtId="177" fontId="34" fillId="21" borderId="68" xfId="0" applyNumberFormat="1" applyFont="1" applyFill="1" applyBorder="1" applyAlignment="1">
      <alignment horizontal="center" vertical="center" shrinkToFit="1"/>
    </xf>
    <xf numFmtId="176" fontId="34" fillId="0" borderId="69" xfId="0" applyNumberFormat="1" applyFont="1" applyBorder="1" applyAlignment="1">
      <alignment horizontal="center" vertical="center" wrapText="1"/>
    </xf>
    <xf numFmtId="177" fontId="34" fillId="21" borderId="70" xfId="0" applyNumberFormat="1" applyFont="1" applyFill="1" applyBorder="1" applyAlignment="1">
      <alignment horizontal="center" vertical="center" shrinkToFit="1"/>
    </xf>
    <xf numFmtId="177" fontId="34" fillId="23" borderId="71" xfId="0" applyNumberFormat="1" applyFont="1" applyFill="1" applyBorder="1" applyAlignment="1">
      <alignment horizontal="center" vertical="center" shrinkToFit="1"/>
    </xf>
    <xf numFmtId="177" fontId="34" fillId="9" borderId="71" xfId="0" applyNumberFormat="1" applyFont="1" applyFill="1" applyBorder="1" applyAlignment="1">
      <alignment horizontal="center" vertical="center" shrinkToFit="1"/>
    </xf>
    <xf numFmtId="177" fontId="34" fillId="11" borderId="71" xfId="0" applyNumberFormat="1" applyFont="1" applyFill="1" applyBorder="1" applyAlignment="1">
      <alignment horizontal="center" vertical="center" shrinkToFit="1"/>
    </xf>
    <xf numFmtId="177" fontId="34" fillId="21" borderId="72" xfId="0" applyNumberFormat="1" applyFont="1" applyFill="1" applyBorder="1" applyAlignment="1">
      <alignment horizontal="center" vertical="center" shrinkToFit="1"/>
    </xf>
    <xf numFmtId="175" fontId="34" fillId="21" borderId="70" xfId="0" applyNumberFormat="1" applyFont="1" applyFill="1" applyBorder="1" applyAlignment="1">
      <alignment horizontal="center" vertical="center" shrinkToFit="1"/>
    </xf>
    <xf numFmtId="175" fontId="34" fillId="23" borderId="71" xfId="0" applyNumberFormat="1" applyFont="1" applyFill="1" applyBorder="1" applyAlignment="1">
      <alignment horizontal="center" vertical="center" shrinkToFit="1"/>
    </xf>
    <xf numFmtId="175" fontId="34" fillId="9" borderId="71" xfId="0" applyNumberFormat="1" applyFont="1" applyFill="1" applyBorder="1" applyAlignment="1">
      <alignment horizontal="center" vertical="center" shrinkToFit="1"/>
    </xf>
    <xf numFmtId="175" fontId="34" fillId="11" borderId="71" xfId="0" applyNumberFormat="1" applyFont="1" applyFill="1" applyBorder="1" applyAlignment="1">
      <alignment horizontal="center" vertical="center" shrinkToFit="1"/>
    </xf>
    <xf numFmtId="175" fontId="34" fillId="21" borderId="72" xfId="0" applyNumberFormat="1" applyFont="1" applyFill="1" applyBorder="1" applyAlignment="1">
      <alignment horizontal="center" vertical="center" shrinkToFit="1"/>
    </xf>
    <xf numFmtId="0" fontId="34" fillId="0" borderId="62" xfId="0" applyFont="1" applyBorder="1" applyAlignment="1">
      <alignment horizontal="center" vertical="center" wrapText="1"/>
    </xf>
    <xf numFmtId="178" fontId="34" fillId="21" borderId="63" xfId="0" applyNumberFormat="1" applyFont="1" applyFill="1" applyBorder="1" applyAlignment="1">
      <alignment horizontal="center" vertical="center" shrinkToFit="1"/>
    </xf>
    <xf numFmtId="178" fontId="34" fillId="9" borderId="64" xfId="0" applyNumberFormat="1" applyFont="1" applyFill="1" applyBorder="1" applyAlignment="1">
      <alignment horizontal="center" vertical="center" shrinkToFit="1"/>
    </xf>
    <xf numFmtId="178" fontId="34" fillId="21" borderId="64" xfId="0" applyNumberFormat="1" applyFont="1" applyFill="1" applyBorder="1" applyAlignment="1">
      <alignment horizontal="center" vertical="center" shrinkToFit="1"/>
    </xf>
    <xf numFmtId="178" fontId="34" fillId="21" borderId="65" xfId="0" applyNumberFormat="1" applyFont="1" applyFill="1" applyBorder="1" applyAlignment="1">
      <alignment horizontal="center" vertical="center" shrinkToFit="1"/>
    </xf>
    <xf numFmtId="0" fontId="34" fillId="0" borderId="66" xfId="0" applyFont="1" applyBorder="1" applyAlignment="1">
      <alignment horizontal="center" vertical="center" wrapText="1"/>
    </xf>
    <xf numFmtId="178" fontId="34" fillId="21" borderId="67" xfId="0" applyNumberFormat="1" applyFont="1" applyFill="1" applyBorder="1" applyAlignment="1">
      <alignment horizontal="center" vertical="center" shrinkToFit="1"/>
    </xf>
    <xf numFmtId="178" fontId="34" fillId="9" borderId="9" xfId="0" applyNumberFormat="1" applyFont="1" applyFill="1" applyBorder="1" applyAlignment="1">
      <alignment horizontal="center" vertical="center" shrinkToFit="1"/>
    </xf>
    <xf numFmtId="178" fontId="34" fillId="25" borderId="9" xfId="0" applyNumberFormat="1" applyFont="1" applyFill="1" applyBorder="1" applyAlignment="1">
      <alignment horizontal="center" vertical="center" shrinkToFit="1"/>
    </xf>
    <xf numFmtId="178" fontId="34" fillId="21" borderId="68" xfId="0" applyNumberFormat="1" applyFont="1" applyFill="1" applyBorder="1" applyAlignment="1">
      <alignment horizontal="center" vertical="center" shrinkToFit="1"/>
    </xf>
    <xf numFmtId="0" fontId="34" fillId="0" borderId="69" xfId="0" applyFont="1" applyBorder="1" applyAlignment="1">
      <alignment horizontal="center" vertical="center" wrapText="1"/>
    </xf>
    <xf numFmtId="178" fontId="34" fillId="21" borderId="70" xfId="0" applyNumberFormat="1" applyFont="1" applyFill="1" applyBorder="1" applyAlignment="1">
      <alignment horizontal="center" vertical="center" shrinkToFit="1"/>
    </xf>
    <xf numFmtId="178" fontId="34" fillId="23" borderId="71" xfId="0" applyNumberFormat="1" applyFont="1" applyFill="1" applyBorder="1" applyAlignment="1">
      <alignment horizontal="center" vertical="center" shrinkToFit="1"/>
    </xf>
    <xf numFmtId="178" fontId="34" fillId="9" borderId="71" xfId="0" applyNumberFormat="1" applyFont="1" applyFill="1" applyBorder="1" applyAlignment="1">
      <alignment horizontal="center" vertical="center" shrinkToFit="1"/>
    </xf>
    <xf numFmtId="178" fontId="34" fillId="11" borderId="71" xfId="0" applyNumberFormat="1" applyFont="1" applyFill="1" applyBorder="1" applyAlignment="1">
      <alignment horizontal="center" vertical="center" shrinkToFit="1"/>
    </xf>
    <xf numFmtId="178" fontId="34" fillId="21" borderId="72" xfId="0" applyNumberFormat="1" applyFont="1" applyFill="1" applyBorder="1" applyAlignment="1">
      <alignment horizontal="center" vertical="center" shrinkToFit="1"/>
    </xf>
    <xf numFmtId="0" fontId="0" fillId="0" borderId="77" xfId="0" applyBorder="1" applyAlignment="1">
      <alignment horizontal="left" indent="1"/>
    </xf>
    <xf numFmtId="0" fontId="0" fillId="26" borderId="78" xfId="0" applyFill="1" applyBorder="1"/>
    <xf numFmtId="0" fontId="1" fillId="26" borderId="79" xfId="0" applyFont="1" applyFill="1" applyBorder="1" applyAlignment="1">
      <alignment horizontal="right" indent="1"/>
    </xf>
    <xf numFmtId="179" fontId="1" fillId="26" borderId="80" xfId="0" applyNumberFormat="1" applyFont="1" applyFill="1" applyBorder="1" applyAlignment="1">
      <alignment horizontal="left" indent="1" shrinkToFit="1"/>
    </xf>
    <xf numFmtId="180" fontId="3" fillId="6" borderId="3" xfId="2" applyNumberFormat="1" applyAlignment="1">
      <alignment horizontal="left" indent="1" shrinkToFit="1"/>
    </xf>
    <xf numFmtId="171" fontId="3" fillId="6" borderId="3" xfId="2" applyNumberFormat="1" applyAlignment="1">
      <alignment horizontal="center"/>
    </xf>
    <xf numFmtId="0" fontId="0" fillId="7" borderId="13" xfId="0" applyFill="1" applyBorder="1" applyAlignment="1">
      <alignment horizontal="left" vertical="center" indent="1"/>
    </xf>
    <xf numFmtId="0" fontId="13" fillId="7" borderId="13" xfId="0" applyFont="1" applyFill="1" applyBorder="1" applyAlignment="1">
      <alignment horizontal="left" vertical="center" indent="1"/>
    </xf>
    <xf numFmtId="0" fontId="0" fillId="8" borderId="0" xfId="0" applyFill="1" applyBorder="1" applyAlignment="1">
      <alignment horizontal="left" vertical="center" indent="1"/>
    </xf>
    <xf numFmtId="0" fontId="1" fillId="9" borderId="5" xfId="0" applyFont="1" applyFill="1" applyBorder="1" applyAlignment="1">
      <alignment horizontal="left" wrapText="1" indent="1"/>
    </xf>
    <xf numFmtId="0" fontId="0" fillId="9" borderId="5" xfId="0" applyFill="1" applyBorder="1" applyAlignment="1">
      <alignment horizontal="left" wrapText="1" indent="1"/>
    </xf>
    <xf numFmtId="168" fontId="1" fillId="9" borderId="5" xfId="0" applyNumberFormat="1" applyFont="1" applyFill="1" applyBorder="1" applyAlignment="1">
      <alignment horizontal="left" wrapText="1" indent="1"/>
    </xf>
    <xf numFmtId="0" fontId="26" fillId="0" borderId="0" xfId="4" applyFont="1" applyFill="1" applyBorder="1" applyAlignment="1">
      <alignment horizontal="left" vertical="center" wrapText="1" indent="1"/>
    </xf>
    <xf numFmtId="175" fontId="34" fillId="11" borderId="61" xfId="0" applyNumberFormat="1" applyFont="1" applyFill="1" applyBorder="1" applyAlignment="1">
      <alignment horizontal="center" vertical="center" shrinkToFit="1"/>
    </xf>
    <xf numFmtId="178" fontId="34" fillId="21" borderId="59" xfId="0" applyNumberFormat="1" applyFont="1" applyFill="1" applyBorder="1" applyAlignment="1">
      <alignment horizontal="center" vertical="center" shrinkToFit="1"/>
    </xf>
    <xf numFmtId="178" fontId="34" fillId="11" borderId="61" xfId="0" applyNumberFormat="1" applyFont="1" applyFill="1" applyBorder="1" applyAlignment="1">
      <alignment horizontal="center" vertical="center" shrinkToFit="1"/>
    </xf>
    <xf numFmtId="0" fontId="2" fillId="27" borderId="2" xfId="1" applyFill="1" applyAlignment="1">
      <alignment horizontal="left" indent="1"/>
    </xf>
    <xf numFmtId="0" fontId="0" fillId="0" borderId="10" xfId="4" applyFont="1" applyBorder="1" applyAlignment="1">
      <alignment horizontal="left" indent="1"/>
    </xf>
    <xf numFmtId="0" fontId="18" fillId="3" borderId="12" xfId="4" applyFont="1" applyFill="1" applyBorder="1" applyAlignment="1">
      <alignment horizontal="left"/>
    </xf>
    <xf numFmtId="0" fontId="19" fillId="0" borderId="39" xfId="4" applyNumberFormat="1" applyFont="1" applyBorder="1" applyAlignment="1">
      <alignment horizontal="center" vertical="center"/>
    </xf>
    <xf numFmtId="0" fontId="19" fillId="0" borderId="40" xfId="4" applyNumberFormat="1" applyFont="1" applyBorder="1" applyAlignment="1">
      <alignment horizontal="center" vertical="center"/>
    </xf>
    <xf numFmtId="181" fontId="1" fillId="26" borderId="80" xfId="0" applyNumberFormat="1" applyFont="1" applyFill="1" applyBorder="1" applyAlignment="1">
      <alignment horizontal="left" indent="1" shrinkToFit="1"/>
    </xf>
    <xf numFmtId="0" fontId="1" fillId="26" borderId="78" xfId="0" applyFont="1" applyFill="1" applyBorder="1" applyAlignment="1">
      <alignment horizontal="right" indent="1" shrinkToFit="1"/>
    </xf>
    <xf numFmtId="0" fontId="3" fillId="6" borderId="3" xfId="2" applyNumberFormat="1" applyAlignment="1">
      <alignment horizontal="center" shrinkToFit="1"/>
    </xf>
    <xf numFmtId="0" fontId="0" fillId="0" borderId="0" xfId="0" applyAlignment="1">
      <alignment horizontal="left" wrapText="1" indent="1"/>
    </xf>
    <xf numFmtId="168" fontId="1" fillId="0" borderId="0" xfId="0" applyNumberFormat="1" applyFont="1" applyFill="1" applyBorder="1" applyAlignment="1">
      <alignment horizontal="left" wrapText="1" indent="1"/>
    </xf>
    <xf numFmtId="168" fontId="1" fillId="0" borderId="5" xfId="0" applyNumberFormat="1" applyFont="1" applyFill="1" applyBorder="1" applyAlignment="1">
      <alignment horizontal="left" wrapText="1" indent="1"/>
    </xf>
    <xf numFmtId="0" fontId="19" fillId="3" borderId="12" xfId="4" applyFont="1" applyFill="1" applyBorder="1" applyAlignment="1">
      <alignment horizontal="left"/>
    </xf>
    <xf numFmtId="169" fontId="3" fillId="6" borderId="81" xfId="2" applyNumberFormat="1" applyBorder="1" applyAlignment="1">
      <alignment horizontal="right" indent="1" shrinkToFit="1"/>
    </xf>
    <xf numFmtId="0" fontId="0" fillId="0" borderId="0" xfId="0" applyAlignment="1">
      <alignment horizontal="left" vertical="top" wrapText="1" indent="1"/>
    </xf>
    <xf numFmtId="0" fontId="0" fillId="0" borderId="0" xfId="0" applyAlignment="1">
      <alignment horizontal="left" vertical="top" indent="1" shrinkToFit="1"/>
    </xf>
    <xf numFmtId="0" fontId="1" fillId="0" borderId="0" xfId="0" applyFont="1" applyAlignment="1">
      <alignment horizontal="center" vertical="center" textRotation="90" wrapText="1"/>
    </xf>
    <xf numFmtId="0" fontId="14" fillId="0" borderId="30" xfId="0" applyFont="1" applyBorder="1" applyAlignment="1">
      <alignment horizontal="left" vertical="top" wrapText="1" indent="1"/>
    </xf>
    <xf numFmtId="0" fontId="0" fillId="13" borderId="0" xfId="0" applyFill="1" applyBorder="1" applyAlignment="1">
      <alignment horizontal="center" vertical="center" wrapText="1"/>
    </xf>
    <xf numFmtId="0" fontId="0" fillId="0" borderId="0" xfId="0" applyBorder="1" applyAlignment="1">
      <alignment wrapText="1"/>
    </xf>
    <xf numFmtId="0" fontId="0" fillId="10" borderId="0" xfId="0" applyFill="1" applyBorder="1" applyAlignment="1">
      <alignment horizontal="center" vertical="center" wrapText="1"/>
    </xf>
    <xf numFmtId="0" fontId="0" fillId="9" borderId="0" xfId="0" applyFill="1" applyBorder="1" applyAlignment="1">
      <alignment horizontal="center" vertical="center" wrapText="1"/>
    </xf>
    <xf numFmtId="0" fontId="10" fillId="11" borderId="0" xfId="0" applyFont="1" applyFill="1" applyBorder="1" applyAlignment="1">
      <alignment horizontal="center" vertical="center" wrapText="1"/>
    </xf>
    <xf numFmtId="0" fontId="10" fillId="0" borderId="0" xfId="0" applyFont="1" applyBorder="1" applyAlignment="1">
      <alignment wrapText="1"/>
    </xf>
    <xf numFmtId="0" fontId="10" fillId="12" borderId="0" xfId="0" applyFont="1" applyFill="1" applyBorder="1" applyAlignment="1">
      <alignment horizontal="center" vertical="center" wrapText="1"/>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56" xfId="0" applyFont="1" applyBorder="1" applyAlignment="1">
      <alignment horizontal="center" shrinkToFit="1"/>
    </xf>
    <xf numFmtId="0" fontId="0" fillId="0" borderId="58" xfId="0" applyBorder="1" applyAlignment="1">
      <alignment horizontal="center" shrinkToFit="1"/>
    </xf>
    <xf numFmtId="0" fontId="0" fillId="0" borderId="56" xfId="0" applyBorder="1" applyAlignment="1">
      <alignment horizontal="center" shrinkToFit="1"/>
    </xf>
    <xf numFmtId="0" fontId="0" fillId="0" borderId="0" xfId="0" applyAlignment="1">
      <alignment horizontal="left" vertical="center" wrapText="1" indent="1"/>
    </xf>
    <xf numFmtId="0" fontId="29" fillId="0" borderId="52" xfId="0" applyFont="1" applyBorder="1" applyAlignment="1">
      <alignment horizontal="center" vertical="center" wrapText="1" readingOrder="1"/>
    </xf>
    <xf numFmtId="0" fontId="29" fillId="0" borderId="53" xfId="0" applyFont="1" applyBorder="1" applyAlignment="1">
      <alignment horizontal="center" vertical="center" wrapText="1" readingOrder="1"/>
    </xf>
    <xf numFmtId="0" fontId="29" fillId="0" borderId="54" xfId="0" applyFont="1" applyBorder="1" applyAlignment="1">
      <alignment horizontal="center" vertical="center" wrapText="1" readingOrder="1"/>
    </xf>
    <xf numFmtId="0" fontId="1" fillId="0" borderId="0" xfId="0" applyFont="1" applyAlignment="1">
      <alignment horizontal="left" vertical="center" indent="1" shrinkToFit="1"/>
    </xf>
    <xf numFmtId="0" fontId="29" fillId="23" borderId="52" xfId="0" applyFont="1" applyFill="1" applyBorder="1" applyAlignment="1">
      <alignment horizontal="left" vertical="center" wrapText="1" indent="1" readingOrder="1"/>
    </xf>
    <xf numFmtId="0" fontId="29" fillId="23" borderId="53" xfId="0" applyFont="1" applyFill="1" applyBorder="1" applyAlignment="1">
      <alignment horizontal="left" vertical="center" wrapText="1" indent="1" readingOrder="1"/>
    </xf>
    <xf numFmtId="0" fontId="29" fillId="23" borderId="54" xfId="0" applyFont="1" applyFill="1" applyBorder="1" applyAlignment="1">
      <alignment horizontal="left" vertical="center" wrapText="1" indent="1" readingOrder="1"/>
    </xf>
    <xf numFmtId="0" fontId="29" fillId="21" borderId="52" xfId="0" applyFont="1" applyFill="1" applyBorder="1" applyAlignment="1">
      <alignment horizontal="left" vertical="center" wrapText="1" indent="1" readingOrder="1"/>
    </xf>
    <xf numFmtId="0" fontId="29" fillId="21" borderId="53" xfId="0" applyFont="1" applyFill="1" applyBorder="1" applyAlignment="1">
      <alignment horizontal="left" vertical="center" wrapText="1" indent="1" readingOrder="1"/>
    </xf>
    <xf numFmtId="0" fontId="26" fillId="0" borderId="56" xfId="4" applyFont="1" applyFill="1" applyBorder="1" applyAlignment="1">
      <alignment horizontal="right" vertical="center" indent="1" shrinkToFit="1"/>
    </xf>
    <xf numFmtId="0" fontId="1" fillId="0" borderId="57" xfId="0" applyFont="1" applyBorder="1" applyAlignment="1">
      <alignment horizontal="right" vertical="center" indent="1" shrinkToFit="1"/>
    </xf>
    <xf numFmtId="0" fontId="1" fillId="0" borderId="58" xfId="0" applyFont="1" applyBorder="1" applyAlignment="1">
      <alignment horizontal="right" vertical="center" indent="1" shrinkToFit="1"/>
    </xf>
    <xf numFmtId="0" fontId="1" fillId="0" borderId="1" xfId="0" applyFont="1" applyBorder="1" applyAlignment="1">
      <alignment horizontal="left" indent="1" shrinkToFit="1"/>
    </xf>
    <xf numFmtId="0" fontId="0" fillId="0" borderId="1" xfId="0" applyBorder="1" applyAlignment="1">
      <alignment horizontal="left" shrinkToFit="1"/>
    </xf>
    <xf numFmtId="0" fontId="0" fillId="0" borderId="0" xfId="0" applyFont="1" applyAlignment="1">
      <alignment horizontal="left" vertical="center" wrapText="1" indent="1" shrinkToFit="1"/>
    </xf>
    <xf numFmtId="0" fontId="0" fillId="0" borderId="0" xfId="0" applyFont="1" applyAlignment="1">
      <alignment horizontal="left" vertical="center" indent="1" shrinkToFit="1"/>
    </xf>
    <xf numFmtId="0" fontId="0" fillId="0" borderId="44" xfId="0" applyFont="1" applyBorder="1" applyAlignment="1">
      <alignment horizontal="left" vertical="center" wrapText="1"/>
    </xf>
    <xf numFmtId="0" fontId="0" fillId="0" borderId="0" xfId="0" applyFont="1" applyAlignment="1">
      <alignment horizontal="left" vertical="center" wrapText="1"/>
    </xf>
    <xf numFmtId="0" fontId="1" fillId="0" borderId="43" xfId="4" applyFont="1" applyBorder="1" applyAlignment="1">
      <alignment horizontal="left" indent="1" shrinkToFit="1"/>
    </xf>
    <xf numFmtId="0" fontId="1" fillId="0" borderId="44" xfId="0" applyFont="1" applyBorder="1" applyAlignment="1">
      <alignment horizontal="left" indent="1" shrinkToFit="1"/>
    </xf>
    <xf numFmtId="0" fontId="1" fillId="0" borderId="45" xfId="0" applyFont="1" applyBorder="1" applyAlignment="1">
      <alignment horizontal="left" indent="1" shrinkToFit="1"/>
    </xf>
    <xf numFmtId="0" fontId="22" fillId="3" borderId="17" xfId="4" applyFill="1" applyBorder="1" applyAlignment="1">
      <alignment horizontal="left" vertical="center" wrapText="1" indent="1"/>
    </xf>
    <xf numFmtId="0" fontId="22" fillId="0" borderId="5" xfId="4" applyBorder="1" applyAlignment="1">
      <alignment horizontal="left" vertical="center" wrapText="1" indent="1"/>
    </xf>
    <xf numFmtId="0" fontId="22" fillId="4" borderId="17" xfId="4" applyFill="1" applyBorder="1" applyAlignment="1">
      <alignment horizontal="left" vertical="center" wrapText="1" indent="1"/>
    </xf>
    <xf numFmtId="0" fontId="22" fillId="4" borderId="5" xfId="4" applyFill="1" applyBorder="1" applyAlignment="1">
      <alignment horizontal="left" vertical="center" wrapText="1" indent="1"/>
    </xf>
    <xf numFmtId="0" fontId="22" fillId="0" borderId="16" xfId="4" applyBorder="1" applyAlignment="1">
      <alignment horizontal="left" vertical="top" wrapText="1" indent="1"/>
    </xf>
    <xf numFmtId="0" fontId="19" fillId="3" borderId="17" xfId="4" applyFont="1" applyFill="1" applyBorder="1" applyAlignment="1">
      <alignment horizontal="left" vertical="center" wrapText="1" indent="1"/>
    </xf>
    <xf numFmtId="0" fontId="19" fillId="0" borderId="5" xfId="4" applyFont="1" applyBorder="1" applyAlignment="1">
      <alignment horizontal="left" vertical="center" wrapText="1" indent="1"/>
    </xf>
    <xf numFmtId="0" fontId="1" fillId="0" borderId="56" xfId="0" applyFont="1" applyBorder="1" applyAlignment="1">
      <alignment horizontal="left" wrapText="1" indent="1"/>
    </xf>
    <xf numFmtId="0" fontId="0" fillId="0" borderId="58" xfId="0" applyBorder="1" applyAlignment="1">
      <alignment horizontal="left" wrapText="1"/>
    </xf>
    <xf numFmtId="0" fontId="0" fillId="0" borderId="43" xfId="0" applyBorder="1" applyAlignment="1">
      <alignment horizontal="left" vertical="center" wrapText="1" indent="1"/>
    </xf>
    <xf numFmtId="0" fontId="0" fillId="0" borderId="45" xfId="0" applyBorder="1" applyAlignment="1">
      <alignment horizontal="left" vertical="center" wrapText="1" indent="1"/>
    </xf>
    <xf numFmtId="0" fontId="0" fillId="0" borderId="75" xfId="0" applyBorder="1" applyAlignment="1">
      <alignment horizontal="left" vertical="center" wrapText="1" indent="1"/>
    </xf>
    <xf numFmtId="0" fontId="0" fillId="0" borderId="8" xfId="0" applyBorder="1" applyAlignment="1">
      <alignment horizontal="left" vertical="center" wrapText="1" indent="1"/>
    </xf>
    <xf numFmtId="0" fontId="0" fillId="0" borderId="76" xfId="0" applyBorder="1" applyAlignment="1">
      <alignment horizontal="left" vertical="center" wrapText="1" indent="1"/>
    </xf>
    <xf numFmtId="0" fontId="0" fillId="0" borderId="7" xfId="0" applyBorder="1" applyAlignment="1">
      <alignment horizontal="left" vertical="center" wrapText="1" indent="1"/>
    </xf>
    <xf numFmtId="0" fontId="1" fillId="19" borderId="0" xfId="4" applyFont="1" applyFill="1" applyAlignment="1">
      <alignment horizontal="left" wrapText="1" indent="1"/>
    </xf>
    <xf numFmtId="0" fontId="22" fillId="0" borderId="41" xfId="4" applyBorder="1" applyAlignment="1">
      <alignment horizontal="left" indent="1" shrinkToFit="1"/>
    </xf>
    <xf numFmtId="0" fontId="22" fillId="0" borderId="10" xfId="4" applyBorder="1" applyAlignment="1">
      <alignment horizontal="left" indent="1" shrinkToFit="1"/>
    </xf>
    <xf numFmtId="0" fontId="22" fillId="0" borderId="42" xfId="4" applyBorder="1" applyAlignment="1">
      <alignment horizontal="left" indent="1" shrinkToFit="1"/>
    </xf>
    <xf numFmtId="0" fontId="0" fillId="3" borderId="34" xfId="4" applyFont="1" applyFill="1" applyBorder="1" applyAlignment="1">
      <alignment horizontal="left" wrapText="1" indent="1"/>
    </xf>
    <xf numFmtId="0" fontId="0" fillId="0" borderId="11" xfId="0" applyBorder="1" applyAlignment="1">
      <alignment horizontal="left" wrapText="1" indent="1"/>
    </xf>
    <xf numFmtId="0" fontId="0" fillId="3" borderId="17" xfId="4" applyFont="1" applyFill="1" applyBorder="1" applyAlignment="1">
      <alignment horizontal="left" vertical="center" wrapText="1" indent="1"/>
    </xf>
  </cellXfs>
  <cellStyles count="5">
    <cellStyle name="Hyperlink" xfId="3" builtinId="8"/>
    <cellStyle name="Input" xfId="1" builtinId="20"/>
    <cellStyle name="Normal" xfId="0" builtinId="0"/>
    <cellStyle name="Normal 4" xfId="4"/>
    <cellStyle name="Output" xfId="2" builtinId="21"/>
  </cellStyles>
  <dxfs count="73">
    <dxf>
      <fill>
        <patternFill>
          <bgColor theme="0"/>
        </patternFill>
      </fill>
    </dxf>
    <dxf>
      <fill>
        <patternFill>
          <bgColor theme="0"/>
        </patternFill>
      </fill>
    </dxf>
    <dxf>
      <font>
        <color theme="0" tint="-0.34998626667073579"/>
      </font>
    </dxf>
    <dxf>
      <fill>
        <patternFill>
          <bgColor rgb="FFCCFFCC"/>
        </patternFill>
      </fill>
    </dxf>
    <dxf>
      <fill>
        <patternFill>
          <bgColor rgb="FF66FF66"/>
        </patternFill>
      </fill>
    </dxf>
    <dxf>
      <fill>
        <patternFill>
          <bgColor rgb="FFFFFF00"/>
        </patternFill>
      </fill>
    </dxf>
    <dxf>
      <fill>
        <patternFill>
          <bgColor rgb="FFFF0000"/>
        </patternFill>
      </fill>
    </dxf>
    <dxf>
      <font>
        <b/>
        <i val="0"/>
        <color theme="0"/>
      </font>
      <fill>
        <patternFill>
          <bgColor rgb="FFC00000"/>
        </patternFill>
      </fill>
    </dxf>
    <dxf>
      <fill>
        <patternFill>
          <bgColor rgb="FFCCFFCC"/>
        </patternFill>
      </fill>
    </dxf>
    <dxf>
      <fill>
        <patternFill>
          <bgColor rgb="FF66FF66"/>
        </patternFill>
      </fill>
    </dxf>
    <dxf>
      <fill>
        <patternFill>
          <bgColor rgb="FFFFFF00"/>
        </patternFill>
      </fill>
    </dxf>
    <dxf>
      <fill>
        <patternFill>
          <bgColor rgb="FFFF0000"/>
        </patternFill>
      </fill>
    </dxf>
    <dxf>
      <font>
        <b/>
        <i val="0"/>
        <color theme="0"/>
      </font>
      <fill>
        <patternFill>
          <bgColor rgb="FFC00000"/>
        </patternFill>
      </fill>
    </dxf>
    <dxf>
      <fill>
        <patternFill>
          <bgColor rgb="FFCCFFCC"/>
        </patternFill>
      </fill>
    </dxf>
    <dxf>
      <fill>
        <patternFill>
          <bgColor rgb="FF66FF66"/>
        </patternFill>
      </fill>
    </dxf>
    <dxf>
      <fill>
        <patternFill>
          <bgColor rgb="FFFFFF00"/>
        </patternFill>
      </fill>
    </dxf>
    <dxf>
      <fill>
        <patternFill>
          <bgColor rgb="FFFF0000"/>
        </patternFill>
      </fill>
    </dxf>
    <dxf>
      <font>
        <b/>
        <i val="0"/>
        <color theme="0"/>
      </font>
      <fill>
        <patternFill patternType="solid">
          <fgColor auto="1"/>
          <bgColor rgb="FFC00000"/>
        </patternFill>
      </fill>
    </dxf>
    <dxf>
      <numFmt numFmtId="0" formatCode="General"/>
      <alignment horizontal="center" vertical="bottom" textRotation="0" wrapText="0" indent="0" justifyLastLine="0" shrinkToFit="1" readingOrder="0"/>
    </dxf>
    <dxf>
      <numFmt numFmtId="169" formatCode="#,##0.0&quot; k€/jr.&quot;"/>
      <alignment horizontal="right" vertical="bottom" textRotation="0" wrapText="0" indent="1" justifyLastLine="0" shrinkToFit="1" readingOrder="0"/>
    </dxf>
    <dxf>
      <numFmt numFmtId="13" formatCode="0%"/>
      <alignment horizontal="right" vertical="bottom" textRotation="0" wrapText="0" indent="1" justifyLastLine="0" shrinkToFit="0" readingOrder="0"/>
    </dxf>
    <dxf>
      <alignment horizontal="left" vertical="bottom" textRotation="0" wrapText="0" indent="1" justifyLastLine="0" shrinkToFit="0" readingOrder="0"/>
    </dxf>
    <dxf>
      <numFmt numFmtId="169" formatCode="#,##0.0&quot; k€/jr.&quot;"/>
      <alignment horizontal="right" vertical="bottom" textRotation="0" wrapText="0" indent="1" justifyLastLine="0" shrinkToFit="1" readingOrder="0"/>
      <border diagonalUp="0" diagonalDown="0">
        <left style="thin">
          <color rgb="FF7F7F7F"/>
        </left>
        <right/>
        <top/>
        <bottom style="thin">
          <color rgb="FF7F7F7F"/>
        </bottom>
        <vertical/>
        <horizontal/>
      </border>
    </dxf>
    <dxf>
      <numFmt numFmtId="169" formatCode="#,##0.0&quot; k€/jr.&quot;"/>
      <alignment horizontal="right" vertical="bottom" textRotation="0" wrapText="0" indent="1" justifyLastLine="0" shrinkToFit="1" readingOrder="0"/>
      <border diagonalUp="0" diagonalDown="0">
        <left style="thin">
          <color rgb="FF7F7F7F"/>
        </left>
        <right style="thin">
          <color rgb="FF3F3F3F"/>
        </right>
        <top style="thin">
          <color auto="1"/>
        </top>
        <bottom style="thin">
          <color rgb="FF7F7F7F"/>
        </bottom>
        <vertical/>
        <horizontal/>
      </border>
    </dxf>
    <dxf>
      <numFmt numFmtId="0" formatCode="General"/>
      <alignment horizontal="center" vertical="bottom" textRotation="0" wrapText="0" indent="0" justifyLastLine="0" shrinkToFit="1" readingOrder="0"/>
      <border diagonalUp="0" diagonalDown="0">
        <left style="thin">
          <color rgb="FF3F3F3F"/>
        </left>
        <right style="thin">
          <color rgb="FF3F3F3F"/>
        </right>
        <top/>
        <bottom style="thin">
          <color rgb="FF3F3F3F"/>
        </bottom>
        <vertical/>
        <horizontal/>
      </border>
    </dxf>
    <dxf>
      <alignment horizontal="center" vertical="bottom" textRotation="0" wrapText="0" indent="0" justifyLastLine="0" shrinkToFit="1" readingOrder="0"/>
      <border diagonalUp="0" diagonalDown="0">
        <left style="thin">
          <color rgb="FF7F7F7F"/>
        </left>
        <right style="thin">
          <color rgb="FF7F7F7F"/>
        </right>
        <top/>
        <bottom style="thin">
          <color rgb="FF7F7F7F"/>
        </bottom>
        <vertical/>
        <horizontal/>
      </border>
    </dxf>
    <dxf>
      <alignment horizontal="righ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numFmt numFmtId="0" formatCode="General"/>
      <alignment horizontal="center" vertical="bottom" textRotation="0" wrapText="0" indent="0" justifyLastLine="0" shrinkToFit="1" readingOrder="0"/>
      <border diagonalUp="0" diagonalDown="0">
        <left style="thin">
          <color rgb="FF3F3F3F"/>
        </left>
        <right style="thin">
          <color rgb="FF3F3F3F"/>
        </right>
        <top/>
        <bottom style="thin">
          <color rgb="FF3F3F3F"/>
        </bottom>
        <vertical/>
        <horizontal/>
      </border>
    </dxf>
    <dxf>
      <numFmt numFmtId="169" formatCode="#,##0.0&quot; k€/jr.&quot;"/>
      <alignment horizontal="right" vertical="bottom" textRotation="0" wrapText="0" indent="1" justifyLastLine="0" shrinkToFit="1" readingOrder="0"/>
      <border diagonalUp="0" diagonalDown="0">
        <left style="thin">
          <color rgb="FF7F7F7F"/>
        </left>
        <right style="thin">
          <color rgb="FF3F3F3F"/>
        </right>
        <top style="thin">
          <color auto="1"/>
        </top>
        <bottom style="thin">
          <color rgb="FF7F7F7F"/>
        </bottom>
        <vertical/>
        <horizontal/>
      </border>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171" formatCode="&quot;Cat. &quot;0"/>
      <alignment horizontal="center" vertical="bottom" textRotation="0" wrapText="0" indent="0" justifyLastLine="0" shrinkToFit="0" readingOrder="0"/>
    </dxf>
    <dxf>
      <numFmt numFmtId="180" formatCode="0.0_ &quot;Jr.&quot;;[Red]\-0.0\ &quot;Jr.&quot;"/>
      <alignment horizontal="left" vertical="bottom" textRotation="0" wrapText="0" indent="1" justifyLastLine="0" shrinkToFit="1" readingOrder="0"/>
    </dxf>
    <dxf>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d/m/yyyy"/>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alignment horizontal="left" vertical="bottom" textRotation="0" wrapText="0" indent="1" justifyLastLine="0" shrinkToFit="0" readingOrder="0"/>
    </dxf>
    <dxf>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numFmt numFmtId="173" formatCode="0&quot; °C.&quot;_ ;[Red]\-0&quot; °C.&quot;"/>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numFmt numFmtId="174" formatCode="0.0&quot; Jr.&quot;"/>
      <alignment horizontal="left" vertical="bottom" textRotation="0" wrapText="0" indent="1" justifyLastLine="0" shrinkToFit="0" readingOrder="0"/>
    </dxf>
    <dxf>
      <alignment horizontal="left" vertical="bottom" textRotation="0" wrapText="0" indent="1" justifyLastLine="0" shrinkToFit="0" readingOrder="0"/>
    </dxf>
    <dxf>
      <alignment horizontal="left" vertical="bottom" textRotation="0" wrapText="0" indent="1" justifyLastLine="0" shrinkToFit="0" readingOrder="0"/>
    </dxf>
    <dxf>
      <alignment horizontal="left" vertical="bottom" textRotation="0" wrapText="0" indent="1" justifyLastLine="0" shrinkToFit="0" readingOrder="0"/>
    </dxf>
    <dxf>
      <alignment horizontal="left" vertical="bottom" textRotation="0" wrapText="0" indent="1" justifyLastLine="0" shrinkToFit="0" readingOrder="0"/>
      <border diagonalUp="0" diagonalDown="0">
        <left style="thin">
          <color rgb="FF7F7F7F"/>
        </left>
        <right style="thin">
          <color rgb="FF7F7F7F"/>
        </right>
        <top/>
        <bottom style="thin">
          <color rgb="FF7F7F7F"/>
        </bottom>
        <vertical/>
        <horizontal/>
      </border>
    </dxf>
    <dxf>
      <alignment horizontal="left" vertical="bottom" textRotation="0" wrapText="0" indent="1" justifyLastLine="0" shrinkToFit="0" readingOrder="0"/>
      <border diagonalUp="0" diagonalDown="0">
        <left style="thin">
          <color rgb="FF7F7F7F"/>
        </left>
        <right style="thin">
          <color rgb="FF7F7F7F"/>
        </right>
        <top style="thin">
          <color rgb="FF7F7F7F"/>
        </top>
        <bottom style="thin">
          <color rgb="FF7F7F7F"/>
        </bottom>
        <vertical/>
        <horizontal/>
      </border>
    </dxf>
    <dxf>
      <fill>
        <patternFill patternType="solid">
          <fgColor indexed="64"/>
          <bgColor theme="0" tint="-4.9989318521683403E-2"/>
        </patternFill>
      </fill>
      <alignment horizontal="left" vertical="bottom" textRotation="0" wrapText="0" indent="1" justifyLastLine="0" shrinkToFit="1" readingOrder="0"/>
      <border diagonalUp="0" diagonalDown="0">
        <left/>
        <right/>
        <top/>
        <bottom style="thin">
          <color auto="1"/>
        </bottom>
        <vertical/>
        <horizontal/>
      </border>
    </dxf>
    <dxf>
      <numFmt numFmtId="170" formatCode="0.0&quot; mm&quot;"/>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alignment horizontal="left" vertical="bottom" textRotation="0" wrapText="0" indent="1" justifyLastLine="0" shrinkToFit="1" readingOrder="0"/>
      <border diagonalUp="0" diagonalDown="0">
        <left style="thin">
          <color rgb="FF7F7F7F"/>
        </left>
        <right style="thin">
          <color rgb="FF7F7F7F"/>
        </right>
        <top/>
        <bottom style="thin">
          <color rgb="FF7F7F7F"/>
        </bottom>
        <vertical/>
        <horizontal/>
      </border>
    </dxf>
    <dxf>
      <border outline="0">
        <top style="medium">
          <color auto="1"/>
        </top>
      </border>
    </dxf>
    <dxf>
      <fill>
        <patternFill patternType="lightGray"/>
      </fill>
    </dxf>
    <dxf>
      <fill>
        <patternFill>
          <bgColor rgb="FFCCFFCC"/>
        </patternFill>
      </fill>
    </dxf>
    <dxf>
      <fill>
        <patternFill>
          <bgColor rgb="FF66FF66"/>
        </patternFill>
      </fill>
    </dxf>
    <dxf>
      <fill>
        <patternFill>
          <bgColor rgb="FFFFFF00"/>
        </patternFill>
      </fill>
    </dxf>
    <dxf>
      <fill>
        <patternFill>
          <bgColor rgb="FFFF0000"/>
        </patternFill>
      </fill>
    </dxf>
    <dxf>
      <font>
        <b/>
        <i val="0"/>
        <color theme="0"/>
      </font>
      <fill>
        <patternFill>
          <bgColor rgb="FFC00000"/>
        </patternFill>
      </fill>
    </dxf>
    <dxf>
      <fill>
        <patternFill>
          <bgColor rgb="FFCCFFCC"/>
        </patternFill>
      </fill>
    </dxf>
    <dxf>
      <fill>
        <patternFill>
          <bgColor rgb="FF66FF66"/>
        </patternFill>
      </fill>
    </dxf>
    <dxf>
      <fill>
        <patternFill>
          <bgColor rgb="FFFFFF00"/>
        </patternFill>
      </fill>
    </dxf>
    <dxf>
      <fill>
        <patternFill>
          <bgColor rgb="FFFF0000"/>
        </patternFill>
      </fill>
    </dxf>
    <dxf>
      <font>
        <b/>
        <i val="0"/>
        <color theme="0"/>
      </font>
      <fill>
        <patternFill>
          <bgColor rgb="FFC00000"/>
        </patternFill>
      </fill>
    </dxf>
    <dxf>
      <fill>
        <patternFill patternType="lightGray"/>
      </fill>
    </dxf>
    <dxf>
      <fill>
        <patternFill patternType="lightGray"/>
      </fill>
    </dxf>
  </dxfs>
  <tableStyles count="1" defaultTableStyle="TableStyleMedium2" defaultPivotStyle="PivotStyleLight16">
    <tableStyle name="CUI_RiskTable" pivot="0" count="0"/>
  </tableStyles>
  <colors>
    <mruColors>
      <color rgb="FFCCFFCC"/>
      <color rgb="FF66FF66"/>
      <color rgb="FFBEE395"/>
      <color rgb="FF66FF33"/>
      <color rgb="FF99B2DF"/>
      <color rgb="FFE6E6E6"/>
      <color rgb="FFCFCFCF"/>
      <color rgb="FFDBDBDB"/>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5178</xdr:rowOff>
    </xdr:from>
    <xdr:to>
      <xdr:col>1</xdr:col>
      <xdr:colOff>600075</xdr:colOff>
      <xdr:row>3</xdr:row>
      <xdr:rowOff>123825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1550" y="586203"/>
          <a:ext cx="561975" cy="5091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260924</xdr:colOff>
      <xdr:row>15</xdr:row>
      <xdr:rowOff>22568</xdr:rowOff>
    </xdr:from>
    <xdr:to>
      <xdr:col>7</xdr:col>
      <xdr:colOff>204895</xdr:colOff>
      <xdr:row>21</xdr:row>
      <xdr:rowOff>36654</xdr:rowOff>
    </xdr:to>
    <xdr:sp macro="" textlink="">
      <xdr:nvSpPr>
        <xdr:cNvPr id="2" name="TextBox 1"/>
        <xdr:cNvSpPr txBox="1"/>
      </xdr:nvSpPr>
      <xdr:spPr>
        <a:xfrm rot="341499">
          <a:off x="1997836" y="3261068"/>
          <a:ext cx="5647765" cy="1157086"/>
        </a:xfrm>
        <a:prstGeom prst="rect">
          <a:avLst/>
        </a:prstGeom>
        <a:solidFill>
          <a:srgbClr val="FFFF00"/>
        </a:solidFill>
        <a:ln w="19050" cmpd="sng">
          <a:solidFill>
            <a:srgbClr val="FF0000"/>
          </a:solidFill>
          <a:prstDash val="dash"/>
        </a:ln>
        <a:effectLst>
          <a:outerShdw blurRad="76200" dist="635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Dit sheet is </a:t>
          </a:r>
          <a:r>
            <a:rPr lang="nl-NL" sz="1100" baseline="0"/>
            <a:t>aangepast op de laatste versie van de [ToolBP_CUI Management.xlsx].</a:t>
          </a:r>
        </a:p>
        <a:p>
          <a:endParaRPr lang="nl-NL" sz="1100" baseline="0"/>
        </a:p>
        <a:p>
          <a:r>
            <a:rPr lang="nl-NL" sz="1100" baseline="0"/>
            <a:t>De aanpak voor één installatiedeel, zoals uitgewerkt in de genoemde tool, wordt in deze tool weergegeven voor een variatie aan installatiedelen.</a:t>
          </a:r>
        </a:p>
        <a:p>
          <a:r>
            <a:rPr lang="nl-NL" sz="1100" baseline="0"/>
            <a:t>Diegene die de details van de aanpak wil zien, kan die dan vinden in de "één-asset" aanpak.</a:t>
          </a:r>
        </a:p>
        <a:p>
          <a:r>
            <a:rPr lang="nl-NL" sz="1100" baseline="0"/>
            <a:t>Degene die een aanpak voor het systeem wil zien, kan die dan vinden in deze weergave.</a:t>
          </a:r>
          <a:endParaRPr lang="nl-NL" sz="1100"/>
        </a:p>
      </xdr:txBody>
    </xdr:sp>
    <xdr:clientData/>
  </xdr:twoCellAnchor>
  <xdr:twoCellAnchor>
    <xdr:from>
      <xdr:col>42</xdr:col>
      <xdr:colOff>358589</xdr:colOff>
      <xdr:row>7</xdr:row>
      <xdr:rowOff>22412</xdr:rowOff>
    </xdr:from>
    <xdr:to>
      <xdr:col>42</xdr:col>
      <xdr:colOff>2061883</xdr:colOff>
      <xdr:row>10</xdr:row>
      <xdr:rowOff>112060</xdr:rowOff>
    </xdr:to>
    <xdr:sp macro="" textlink="">
      <xdr:nvSpPr>
        <xdr:cNvPr id="3" name="Line Callout 1 2"/>
        <xdr:cNvSpPr/>
      </xdr:nvSpPr>
      <xdr:spPr>
        <a:xfrm>
          <a:off x="46190648" y="1546412"/>
          <a:ext cx="1703294" cy="661148"/>
        </a:xfrm>
        <a:prstGeom prst="borderCallout1">
          <a:avLst>
            <a:gd name="adj1" fmla="val 32309"/>
            <a:gd name="adj2" fmla="val -3148"/>
            <a:gd name="adj3" fmla="val 104026"/>
            <a:gd name="adj4" fmla="val -20229"/>
          </a:avLst>
        </a:prstGeom>
        <a:ln>
          <a:tailEnd type="stealth"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Sleep dit punt naar beneden om meer records a</a:t>
          </a:r>
          <a:r>
            <a:rPr lang="nl-NL" sz="1100" baseline="0"/>
            <a:t>an te maken.</a:t>
          </a:r>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168088</xdr:rowOff>
    </xdr:from>
    <xdr:to>
      <xdr:col>59</xdr:col>
      <xdr:colOff>180974</xdr:colOff>
      <xdr:row>45</xdr:row>
      <xdr:rowOff>168088</xdr:rowOff>
    </xdr:to>
    <xdr:sp macro="" textlink="">
      <xdr:nvSpPr>
        <xdr:cNvPr id="2" name="Rectangle 1"/>
        <xdr:cNvSpPr/>
      </xdr:nvSpPr>
      <xdr:spPr>
        <a:xfrm>
          <a:off x="0" y="2073088"/>
          <a:ext cx="11420474" cy="6286500"/>
        </a:xfrm>
        <a:prstGeom prst="rect">
          <a:avLst/>
        </a:prstGeom>
        <a:blipFill dpi="0" rotWithShape="1">
          <a:blip xmlns:r="http://schemas.openxmlformats.org/officeDocument/2006/relationships" r:embed="rId1">
            <a:alphaModFix amt="84000"/>
          </a:blip>
          <a:srcRect/>
          <a:stretch>
            <a:fillRect/>
          </a:stretch>
        </a:blip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61</xdr:col>
      <xdr:colOff>99805</xdr:colOff>
      <xdr:row>46</xdr:row>
      <xdr:rowOff>57149</xdr:rowOff>
    </xdr:from>
    <xdr:to>
      <xdr:col>61</xdr:col>
      <xdr:colOff>531805</xdr:colOff>
      <xdr:row>48</xdr:row>
      <xdr:rowOff>108149</xdr:rowOff>
    </xdr:to>
    <xdr:grpSp>
      <xdr:nvGrpSpPr>
        <xdr:cNvPr id="3" name="Group 2"/>
        <xdr:cNvGrpSpPr/>
      </xdr:nvGrpSpPr>
      <xdr:grpSpPr>
        <a:xfrm>
          <a:off x="11720305" y="11195796"/>
          <a:ext cx="432000" cy="432000"/>
          <a:chOff x="13020674" y="3676650"/>
          <a:chExt cx="432000" cy="432000"/>
        </a:xfrm>
      </xdr:grpSpPr>
      <xdr:sp macro="" textlink="">
        <xdr:nvSpPr>
          <xdr:cNvPr id="4" name="TextBox 3"/>
          <xdr:cNvSpPr txBox="1"/>
        </xdr:nvSpPr>
        <xdr:spPr>
          <a:xfrm>
            <a:off x="13020674" y="3676650"/>
            <a:ext cx="432000" cy="432000"/>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t" anchorCtr="0"/>
          <a:lstStyle/>
          <a:p>
            <a:pPr algn="ctr"/>
            <a:r>
              <a:rPr lang="nl-NL" sz="1100"/>
              <a:t>4</a:t>
            </a:r>
            <a:r>
              <a:rPr lang="nl-NL" sz="1100" baseline="0"/>
              <a:t>     1</a:t>
            </a:r>
          </a:p>
          <a:p>
            <a:pPr algn="ctr"/>
            <a:endParaRPr lang="nl-NL" sz="600" baseline="0"/>
          </a:p>
          <a:p>
            <a:pPr algn="ctr"/>
            <a:r>
              <a:rPr lang="nl-NL" sz="1100" baseline="0"/>
              <a:t>3     2</a:t>
            </a:r>
            <a:endParaRPr lang="nl-NL" sz="1100"/>
          </a:p>
        </xdr:txBody>
      </xdr:sp>
      <xdr:cxnSp macro="">
        <xdr:nvCxnSpPr>
          <xdr:cNvPr id="5" name="Straight Connector 4"/>
          <xdr:cNvCxnSpPr>
            <a:stCxn id="4" idx="0"/>
            <a:endCxn id="4" idx="2"/>
          </xdr:cNvCxnSpPr>
        </xdr:nvCxnSpPr>
        <xdr:spPr>
          <a:xfrm>
            <a:off x="13236674" y="3676650"/>
            <a:ext cx="0" cy="432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 name="Straight Connector 5"/>
          <xdr:cNvCxnSpPr>
            <a:stCxn id="4" idx="1"/>
            <a:endCxn id="4" idx="3"/>
          </xdr:cNvCxnSpPr>
        </xdr:nvCxnSpPr>
        <xdr:spPr>
          <a:xfrm>
            <a:off x="13020674" y="3892650"/>
            <a:ext cx="43200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59</xdr:col>
      <xdr:colOff>112545</xdr:colOff>
      <xdr:row>47</xdr:row>
      <xdr:rowOff>153471</xdr:rowOff>
    </xdr:from>
    <xdr:ext cx="360000" cy="360000"/>
    <xdr:pic>
      <xdr:nvPicPr>
        <xdr:cNvPr id="7" name="Picture 6"/>
        <xdr:cNvPicPr>
          <a:picLocks/>
        </xdr:cNvPicPr>
      </xdr:nvPicPr>
      <xdr:blipFill rotWithShape="1">
        <a:blip xmlns:r="http://schemas.openxmlformats.org/officeDocument/2006/relationships" r:embed="rId2"/>
        <a:srcRect b="12236"/>
        <a:stretch/>
      </xdr:blipFill>
      <xdr:spPr>
        <a:xfrm>
          <a:off x="11352045" y="6630471"/>
          <a:ext cx="360000" cy="360000"/>
        </a:xfrm>
        <a:prstGeom prst="rect">
          <a:avLst/>
        </a:prstGeom>
      </xdr:spPr>
    </xdr:pic>
    <xdr:clientData/>
  </xdr:oneCellAnchor>
  <xdr:twoCellAnchor>
    <xdr:from>
      <xdr:col>1</xdr:col>
      <xdr:colOff>51154</xdr:colOff>
      <xdr:row>8</xdr:row>
      <xdr:rowOff>121620</xdr:rowOff>
    </xdr:from>
    <xdr:to>
      <xdr:col>57</xdr:col>
      <xdr:colOff>38510</xdr:colOff>
      <xdr:row>8</xdr:row>
      <xdr:rowOff>2437912</xdr:rowOff>
    </xdr:to>
    <xdr:grpSp>
      <xdr:nvGrpSpPr>
        <xdr:cNvPr id="26" name="Group 25"/>
        <xdr:cNvGrpSpPr/>
      </xdr:nvGrpSpPr>
      <xdr:grpSpPr>
        <a:xfrm>
          <a:off x="241654" y="1645620"/>
          <a:ext cx="10655356" cy="2316292"/>
          <a:chOff x="667482" y="1488736"/>
          <a:chExt cx="10655356" cy="2316292"/>
        </a:xfrm>
      </xdr:grpSpPr>
      <xdr:grpSp>
        <xdr:nvGrpSpPr>
          <xdr:cNvPr id="10" name="Group 9"/>
          <xdr:cNvGrpSpPr/>
        </xdr:nvGrpSpPr>
        <xdr:grpSpPr>
          <a:xfrm>
            <a:off x="667482" y="1771722"/>
            <a:ext cx="1338845" cy="1966973"/>
            <a:chOff x="667482" y="1771722"/>
            <a:chExt cx="1338845" cy="1966973"/>
          </a:xfrm>
        </xdr:grpSpPr>
        <xdr:pic>
          <xdr:nvPicPr>
            <xdr:cNvPr id="8" name="Picture 7"/>
            <xdr:cNvPicPr>
              <a:picLocks noChangeAspect="1"/>
            </xdr:cNvPicPr>
          </xdr:nvPicPr>
          <xdr:blipFill>
            <a:blip xmlns:r="http://schemas.openxmlformats.org/officeDocument/2006/relationships" r:embed="rId3"/>
            <a:stretch>
              <a:fillRect/>
            </a:stretch>
          </xdr:blipFill>
          <xdr:spPr>
            <a:xfrm>
              <a:off x="667482" y="1771722"/>
              <a:ext cx="878160" cy="1949892"/>
            </a:xfrm>
            <a:prstGeom prst="rect">
              <a:avLst/>
            </a:prstGeom>
          </xdr:spPr>
        </xdr:pic>
        <xdr:sp macro="" textlink="">
          <xdr:nvSpPr>
            <xdr:cNvPr id="9" name="TextBox 8"/>
            <xdr:cNvSpPr txBox="1"/>
          </xdr:nvSpPr>
          <xdr:spPr>
            <a:xfrm>
              <a:off x="1544264" y="1844202"/>
              <a:ext cx="462063" cy="189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_ 10</a:t>
              </a:r>
              <a:r>
                <a:rPr lang="nl-NL" sz="1100" baseline="0">
                  <a:solidFill>
                    <a:schemeClr val="tx1"/>
                  </a:solidFill>
                  <a:effectLst/>
                  <a:latin typeface="+mn-lt"/>
                  <a:ea typeface="+mn-ea"/>
                  <a:cs typeface="+mn-cs"/>
                </a:rPr>
                <a:t> m.</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_ 8</a:t>
              </a:r>
              <a:r>
                <a:rPr lang="nl-NL" sz="1100" baseline="0">
                  <a:solidFill>
                    <a:schemeClr val="tx1"/>
                  </a:solidFill>
                  <a:effectLst/>
                  <a:latin typeface="+mn-lt"/>
                  <a:ea typeface="+mn-ea"/>
                  <a:cs typeface="+mn-cs"/>
                </a:rPr>
                <a:t> m.</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_ 6</a:t>
              </a:r>
              <a:r>
                <a:rPr lang="nl-NL" sz="1100" baseline="0">
                  <a:solidFill>
                    <a:schemeClr val="tx1"/>
                  </a:solidFill>
                  <a:effectLst/>
                  <a:latin typeface="+mn-lt"/>
                  <a:ea typeface="+mn-ea"/>
                  <a:cs typeface="+mn-cs"/>
                </a:rPr>
                <a:t> m.</a:t>
              </a:r>
              <a:endParaRPr lang="nl-NL">
                <a:effectLst/>
              </a:endParaRPr>
            </a:p>
            <a:p>
              <a:endParaRPr lang="nl-NL" sz="1100"/>
            </a:p>
            <a:p>
              <a:r>
                <a:rPr lang="nl-NL" sz="1100"/>
                <a:t>_ 4</a:t>
              </a:r>
              <a:r>
                <a:rPr lang="nl-NL" sz="1100" baseline="0"/>
                <a:t> m.</a:t>
              </a:r>
              <a:endParaRPr lang="nl-NL" sz="1100"/>
            </a:p>
            <a:p>
              <a:endParaRPr lang="nl-NL" sz="1100"/>
            </a:p>
            <a:p>
              <a:r>
                <a:rPr lang="nl-NL" sz="1100"/>
                <a:t>_2 m.</a:t>
              </a:r>
            </a:p>
            <a:p>
              <a:endParaRPr lang="nl-NL" sz="1100"/>
            </a:p>
            <a:p>
              <a:r>
                <a:rPr lang="nl-NL" sz="1100"/>
                <a:t>_ 0</a:t>
              </a:r>
              <a:r>
                <a:rPr lang="nl-NL" sz="1100" baseline="0"/>
                <a:t> m.</a:t>
              </a:r>
              <a:endParaRPr lang="nl-NL" sz="1100"/>
            </a:p>
          </xdr:txBody>
        </xdr:sp>
      </xdr:grpSp>
      <xdr:grpSp>
        <xdr:nvGrpSpPr>
          <xdr:cNvPr id="16" name="Group 15"/>
          <xdr:cNvGrpSpPr/>
        </xdr:nvGrpSpPr>
        <xdr:grpSpPr>
          <a:xfrm>
            <a:off x="3685761" y="2086985"/>
            <a:ext cx="5905503" cy="1718043"/>
            <a:chOff x="4149587" y="2103551"/>
            <a:chExt cx="5905503" cy="1718043"/>
          </a:xfrm>
        </xdr:grpSpPr>
        <xdr:pic>
          <xdr:nvPicPr>
            <xdr:cNvPr id="14" name="Picture 1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191000" y="2550931"/>
              <a:ext cx="5640228" cy="1270663"/>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5" name="TextBox 14"/>
            <xdr:cNvSpPr txBox="1"/>
          </xdr:nvSpPr>
          <xdr:spPr>
            <a:xfrm rot="5400000">
              <a:off x="6871307" y="-618169"/>
              <a:ext cx="462063" cy="59055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eaLnBrk="1" fontAlgn="auto" latinLnBrk="0" hangingPunct="1"/>
              <a:endParaRPr lang="nl-NL" sz="1100">
                <a:solidFill>
                  <a:schemeClr val="tx1"/>
                </a:solidFill>
                <a:effectLst/>
                <a:latin typeface="+mn-lt"/>
                <a:ea typeface="+mn-ea"/>
                <a:cs typeface="+mn-cs"/>
              </a:endParaRPr>
            </a:p>
            <a:p>
              <a:pPr eaLnBrk="1" fontAlgn="auto" latinLnBrk="0" hangingPunct="1"/>
              <a:r>
                <a:rPr lang="nl-NL" sz="1100">
                  <a:solidFill>
                    <a:schemeClr val="tx1"/>
                  </a:solidFill>
                  <a:effectLst/>
                  <a:latin typeface="+mn-lt"/>
                  <a:ea typeface="+mn-ea"/>
                  <a:cs typeface="+mn-cs"/>
                </a:rPr>
                <a:t>32 m. _</a:t>
              </a:r>
              <a:endParaRPr lang="nl-NL">
                <a:effectLst/>
              </a:endParaRPr>
            </a:p>
            <a:p>
              <a:pPr eaLnBrk="1" fontAlgn="auto" latinLnBrk="0" hangingPunct="1"/>
              <a:endParaRPr lang="nl-NL" sz="1100">
                <a:solidFill>
                  <a:schemeClr val="tx1"/>
                </a:solidFill>
                <a:effectLst/>
                <a:latin typeface="+mn-lt"/>
                <a:ea typeface="+mn-ea"/>
                <a:cs typeface="+mn-cs"/>
              </a:endParaRPr>
            </a:p>
            <a:p>
              <a:pPr eaLnBrk="1" fontAlgn="auto" latinLnBrk="0" hangingPunct="1"/>
              <a:r>
                <a:rPr lang="nl-NL" sz="1100">
                  <a:solidFill>
                    <a:schemeClr val="tx1"/>
                  </a:solidFill>
                  <a:effectLst/>
                  <a:latin typeface="+mn-lt"/>
                  <a:ea typeface="+mn-ea"/>
                  <a:cs typeface="+mn-cs"/>
                </a:rPr>
                <a:t>30</a:t>
              </a:r>
              <a:r>
                <a:rPr lang="nl-NL" sz="1100" baseline="0">
                  <a:solidFill>
                    <a:schemeClr val="tx1"/>
                  </a:solidFill>
                  <a:effectLst/>
                  <a:latin typeface="+mn-lt"/>
                  <a:ea typeface="+mn-ea"/>
                  <a:cs typeface="+mn-cs"/>
                </a:rPr>
                <a:t> m. _</a:t>
              </a:r>
              <a:endParaRPr lang="nl-NL">
                <a:effectLst/>
              </a:endParaRPr>
            </a:p>
            <a:p>
              <a:pPr eaLnBrk="1" fontAlgn="auto" latinLnBrk="0" hangingPunct="1"/>
              <a:r>
                <a:rPr lang="nl-NL" sz="1100">
                  <a:solidFill>
                    <a:schemeClr val="tx1"/>
                  </a:solidFill>
                  <a:effectLst/>
                  <a:latin typeface="+mn-lt"/>
                  <a:ea typeface="+mn-ea"/>
                  <a:cs typeface="+mn-cs"/>
                </a:rPr>
                <a:t> </a:t>
              </a:r>
              <a:endParaRPr lang="nl-NL">
                <a:effectLst/>
              </a:endParaRPr>
            </a:p>
            <a:p>
              <a:pPr eaLnBrk="1" fontAlgn="auto" latinLnBrk="0" hangingPunct="1"/>
              <a:r>
                <a:rPr lang="nl-NL" sz="1100" baseline="0">
                  <a:solidFill>
                    <a:schemeClr val="tx1"/>
                  </a:solidFill>
                  <a:effectLst/>
                  <a:latin typeface="+mn-lt"/>
                  <a:ea typeface="+mn-ea"/>
                  <a:cs typeface="+mn-cs"/>
                </a:rPr>
                <a:t>28 m. _</a:t>
              </a:r>
              <a:endParaRPr lang="nl-NL">
                <a:effectLst/>
              </a:endParaRPr>
            </a:p>
            <a:p>
              <a:pPr eaLnBrk="1" fontAlgn="auto" latinLnBrk="0" hangingPunct="1"/>
              <a:endParaRPr lang="nl-NL" sz="1100" baseline="0">
                <a:solidFill>
                  <a:schemeClr val="tx1"/>
                </a:solidFill>
                <a:effectLst/>
                <a:latin typeface="+mn-lt"/>
                <a:ea typeface="+mn-ea"/>
                <a:cs typeface="+mn-cs"/>
              </a:endParaRPr>
            </a:p>
            <a:p>
              <a:pPr eaLnBrk="1" fontAlgn="auto" latinLnBrk="0" hangingPunct="1"/>
              <a:r>
                <a:rPr lang="nl-NL" sz="1100" baseline="0">
                  <a:solidFill>
                    <a:schemeClr val="tx1"/>
                  </a:solidFill>
                  <a:effectLst/>
                  <a:latin typeface="+mn-lt"/>
                  <a:ea typeface="+mn-ea"/>
                  <a:cs typeface="+mn-cs"/>
                </a:rPr>
                <a:t>26 m. _</a:t>
              </a:r>
              <a:endParaRPr lang="nl-NL">
                <a:effectLst/>
              </a:endParaRPr>
            </a:p>
            <a:p>
              <a:pPr eaLnBrk="1" fontAlgn="auto" latinLnBrk="0" hangingPunct="1"/>
              <a:endParaRPr lang="nl-NL" sz="1100" baseline="0">
                <a:solidFill>
                  <a:schemeClr val="tx1"/>
                </a:solidFill>
                <a:effectLst/>
                <a:latin typeface="+mn-lt"/>
                <a:ea typeface="+mn-ea"/>
                <a:cs typeface="+mn-cs"/>
              </a:endParaRPr>
            </a:p>
            <a:p>
              <a:pPr eaLnBrk="1" fontAlgn="auto" latinLnBrk="0" hangingPunct="1"/>
              <a:r>
                <a:rPr lang="nl-NL" sz="1100" baseline="0">
                  <a:solidFill>
                    <a:schemeClr val="tx1"/>
                  </a:solidFill>
                  <a:effectLst/>
                  <a:latin typeface="+mn-lt"/>
                  <a:ea typeface="+mn-ea"/>
                  <a:cs typeface="+mn-cs"/>
                </a:rPr>
                <a:t>24 </a:t>
              </a:r>
              <a:r>
                <a:rPr lang="nl-NL" sz="1100">
                  <a:solidFill>
                    <a:schemeClr val="tx1"/>
                  </a:solidFill>
                  <a:effectLst/>
                  <a:latin typeface="+mn-lt"/>
                  <a:ea typeface="+mn-ea"/>
                  <a:cs typeface="+mn-cs"/>
                </a:rPr>
                <a:t>m. _</a:t>
              </a:r>
              <a:endParaRPr lang="nl-NL">
                <a:effectLst/>
              </a:endParaRPr>
            </a:p>
            <a:p>
              <a:r>
                <a:rPr lang="nl-NL" sz="1100">
                  <a:solidFill>
                    <a:schemeClr val="tx1"/>
                  </a:solidFill>
                  <a:effectLst/>
                  <a:latin typeface="+mn-lt"/>
                  <a:ea typeface="+mn-ea"/>
                  <a:cs typeface="+mn-cs"/>
                </a:rPr>
                <a:t> </a:t>
              </a:r>
            </a:p>
            <a:p>
              <a:r>
                <a:rPr lang="nl-NL" sz="1100" baseline="0">
                  <a:solidFill>
                    <a:schemeClr val="tx1"/>
                  </a:solidFill>
                  <a:effectLst/>
                  <a:latin typeface="+mn-lt"/>
                  <a:ea typeface="+mn-ea"/>
                  <a:cs typeface="+mn-cs"/>
                </a:rPr>
                <a:t>22 m. _</a:t>
              </a:r>
              <a:endParaRPr lang="nl-NL">
                <a:effectLst/>
              </a:endParaRPr>
            </a:p>
            <a:p>
              <a:endParaRPr lang="nl-NL" sz="1100" baseline="0">
                <a:solidFill>
                  <a:schemeClr val="tx1"/>
                </a:solidFill>
                <a:effectLst/>
                <a:latin typeface="+mn-lt"/>
                <a:ea typeface="+mn-ea"/>
                <a:cs typeface="+mn-cs"/>
              </a:endParaRPr>
            </a:p>
            <a:p>
              <a:r>
                <a:rPr lang="nl-NL" sz="1100" baseline="0">
                  <a:solidFill>
                    <a:schemeClr val="tx1"/>
                  </a:solidFill>
                  <a:effectLst/>
                  <a:latin typeface="+mn-lt"/>
                  <a:ea typeface="+mn-ea"/>
                  <a:cs typeface="+mn-cs"/>
                </a:rPr>
                <a:t>20 </a:t>
              </a:r>
              <a:r>
                <a:rPr lang="nl-NL" sz="1100">
                  <a:solidFill>
                    <a:schemeClr val="tx1"/>
                  </a:solidFill>
                  <a:effectLst/>
                  <a:latin typeface="+mn-lt"/>
                  <a:ea typeface="+mn-ea"/>
                  <a:cs typeface="+mn-cs"/>
                </a:rPr>
                <a:t>m. _</a:t>
              </a:r>
            </a:p>
            <a:p>
              <a:endParaRPr lang="nl-NL" sz="1100" baseline="0">
                <a:solidFill>
                  <a:schemeClr val="tx1"/>
                </a:solidFill>
                <a:effectLst/>
                <a:latin typeface="+mn-lt"/>
                <a:ea typeface="+mn-ea"/>
                <a:cs typeface="+mn-cs"/>
              </a:endParaRPr>
            </a:p>
            <a:p>
              <a:r>
                <a:rPr lang="nl-NL" sz="1100" baseline="0">
                  <a:solidFill>
                    <a:schemeClr val="tx1"/>
                  </a:solidFill>
                  <a:effectLst/>
                  <a:latin typeface="+mn-lt"/>
                  <a:ea typeface="+mn-ea"/>
                  <a:cs typeface="+mn-cs"/>
                </a:rPr>
                <a:t>18 m. _</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16 m. _</a:t>
              </a: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14 m. _</a:t>
              </a: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12</a:t>
              </a:r>
              <a:r>
                <a:rPr lang="nl-NL" sz="1100" baseline="0">
                  <a:solidFill>
                    <a:schemeClr val="tx1"/>
                  </a:solidFill>
                  <a:effectLst/>
                  <a:latin typeface="+mn-lt"/>
                  <a:ea typeface="+mn-ea"/>
                  <a:cs typeface="+mn-cs"/>
                </a:rPr>
                <a:t> m. _</a:t>
              </a:r>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10</a:t>
              </a:r>
              <a:r>
                <a:rPr lang="nl-NL" sz="1100" baseline="0">
                  <a:solidFill>
                    <a:schemeClr val="tx1"/>
                  </a:solidFill>
                  <a:effectLst/>
                  <a:latin typeface="+mn-lt"/>
                  <a:ea typeface="+mn-ea"/>
                  <a:cs typeface="+mn-cs"/>
                </a:rPr>
                <a:t> m. _</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tx1"/>
                  </a:solidFill>
                  <a:effectLst/>
                  <a:latin typeface="+mn-lt"/>
                  <a:ea typeface="+mn-ea"/>
                  <a:cs typeface="+mn-cs"/>
                </a:rPr>
                <a:t>  8 m. _</a:t>
              </a:r>
              <a:endParaRPr lang="nl-N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tx1"/>
                  </a:solidFill>
                  <a:effectLst/>
                  <a:latin typeface="+mn-lt"/>
                  <a:ea typeface="+mn-ea"/>
                  <a:cs typeface="+mn-cs"/>
                </a:rPr>
                <a:t> 6 </a:t>
              </a:r>
              <a:r>
                <a:rPr lang="nl-NL" sz="1100">
                  <a:solidFill>
                    <a:schemeClr val="tx1"/>
                  </a:solidFill>
                  <a:effectLst/>
                  <a:latin typeface="+mn-lt"/>
                  <a:ea typeface="+mn-ea"/>
                  <a:cs typeface="+mn-cs"/>
                </a:rPr>
                <a:t>m. _</a:t>
              </a:r>
            </a:p>
            <a:p>
              <a:pPr marL="0" marR="0" lvl="0" indent="0" defTabSz="914400" eaLnBrk="1" fontAlgn="auto" latinLnBrk="0" hangingPunct="1">
                <a:lnSpc>
                  <a:spcPct val="100000"/>
                </a:lnSpc>
                <a:spcBef>
                  <a:spcPts val="0"/>
                </a:spcBef>
                <a:spcAft>
                  <a:spcPts val="0"/>
                </a:spcAft>
                <a:buClrTx/>
                <a:buSzTx/>
                <a:buFontTx/>
                <a:buNone/>
                <a:tabLst/>
                <a:defRPr/>
              </a:pPr>
              <a:endParaRPr lang="nl-NL" sz="1100"/>
            </a:p>
            <a:p>
              <a:r>
                <a:rPr lang="nl-NL" sz="1100"/>
                <a:t> 4</a:t>
              </a:r>
              <a:r>
                <a:rPr lang="nl-NL" sz="1100" baseline="0"/>
                <a:t> m. _</a:t>
              </a:r>
              <a:endParaRPr lang="nl-NL" sz="1100"/>
            </a:p>
            <a:p>
              <a:endParaRPr lang="nl-NL" sz="1100"/>
            </a:p>
            <a:p>
              <a:r>
                <a:rPr lang="nl-NL" sz="1100" baseline="0"/>
                <a:t> 2</a:t>
              </a:r>
              <a:r>
                <a:rPr lang="nl-NL" sz="1100"/>
                <a:t> m. _</a:t>
              </a:r>
            </a:p>
            <a:p>
              <a:endParaRPr lang="nl-NL" sz="1100"/>
            </a:p>
            <a:p>
              <a:r>
                <a:rPr lang="nl-NL" sz="1100" baseline="0"/>
                <a:t> 0 m. _</a:t>
              </a:r>
              <a:endParaRPr lang="nl-NL" sz="1100"/>
            </a:p>
          </xdr:txBody>
        </xdr:sp>
      </xdr:grpSp>
      <xdr:grpSp>
        <xdr:nvGrpSpPr>
          <xdr:cNvPr id="23" name="Group 22"/>
          <xdr:cNvGrpSpPr/>
        </xdr:nvGrpSpPr>
        <xdr:grpSpPr>
          <a:xfrm>
            <a:off x="1917424" y="1562553"/>
            <a:ext cx="1559201" cy="2088195"/>
            <a:chOff x="1917424" y="1562553"/>
            <a:chExt cx="1559201" cy="2088195"/>
          </a:xfrm>
        </xdr:grpSpPr>
        <xdr:pic>
          <xdr:nvPicPr>
            <xdr:cNvPr id="11" name="Picture 10"/>
            <xdr:cNvPicPr>
              <a:picLocks noChangeAspect="1"/>
            </xdr:cNvPicPr>
          </xdr:nvPicPr>
          <xdr:blipFill>
            <a:blip xmlns:r="http://schemas.openxmlformats.org/officeDocument/2006/relationships" r:embed="rId5"/>
            <a:stretch>
              <a:fillRect/>
            </a:stretch>
          </xdr:blipFill>
          <xdr:spPr>
            <a:xfrm rot="2650950">
              <a:off x="2123456" y="2766395"/>
              <a:ext cx="1050170" cy="884353"/>
            </a:xfrm>
            <a:prstGeom prst="rect">
              <a:avLst/>
            </a:prstGeom>
          </xdr:spPr>
        </xdr:pic>
        <xdr:pic>
          <xdr:nvPicPr>
            <xdr:cNvPr id="12" name="Picture 11"/>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316795" y="1730550"/>
              <a:ext cx="819979" cy="810218"/>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2" name="TextBox 21"/>
            <xdr:cNvSpPr txBox="1"/>
          </xdr:nvSpPr>
          <xdr:spPr>
            <a:xfrm>
              <a:off x="1917424" y="1562553"/>
              <a:ext cx="1559201" cy="11467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1100" i="1">
                  <a:latin typeface="Trebuchet MS" panose="020B0603020202020204" pitchFamily="34" charset="0"/>
                </a:rPr>
                <a:t>0º</a:t>
              </a:r>
            </a:p>
            <a:p>
              <a:pPr marL="0" marR="0" lvl="0" indent="0" algn="ctr" defTabSz="914400" eaLnBrk="1" fontAlgn="auto" latinLnBrk="0" hangingPunct="1">
                <a:lnSpc>
                  <a:spcPct val="100000"/>
                </a:lnSpc>
                <a:spcBef>
                  <a:spcPts val="0"/>
                </a:spcBef>
                <a:spcAft>
                  <a:spcPts val="0"/>
                </a:spcAft>
                <a:buClrTx/>
                <a:buSzTx/>
                <a:buFontTx/>
                <a:buNone/>
                <a:tabLst/>
                <a:defRPr/>
              </a:pPr>
              <a:endParaRPr lang="nl-NL" sz="1100" i="1">
                <a:latin typeface="Trebuchet MS" panose="020B0603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nl-NL" sz="1100" i="1">
                <a:latin typeface="Trebuchet MS" panose="020B0603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nl-NL" sz="1100" i="1">
                  <a:solidFill>
                    <a:schemeClr val="tx1"/>
                  </a:solidFill>
                  <a:effectLst/>
                  <a:latin typeface="Trebuchet MS" panose="020B0603020202020204" pitchFamily="34" charset="0"/>
                  <a:ea typeface="+mn-ea"/>
                  <a:cs typeface="+mn-cs"/>
                </a:rPr>
                <a:t>270º                     90º</a:t>
              </a:r>
            </a:p>
            <a:p>
              <a:pPr marL="0" marR="0" lvl="0" indent="0" algn="ctr" defTabSz="914400" eaLnBrk="1" fontAlgn="auto" latinLnBrk="0" hangingPunct="1">
                <a:lnSpc>
                  <a:spcPct val="100000"/>
                </a:lnSpc>
                <a:spcBef>
                  <a:spcPts val="0"/>
                </a:spcBef>
                <a:spcAft>
                  <a:spcPts val="0"/>
                </a:spcAft>
                <a:buClrTx/>
                <a:buSzTx/>
                <a:buFontTx/>
                <a:buNone/>
                <a:tabLst/>
                <a:defRPr/>
              </a:pPr>
              <a:endParaRPr lang="nl-NL" sz="1100" i="1" u="none">
                <a:solidFill>
                  <a:schemeClr val="tx1"/>
                </a:solidFill>
                <a:effectLst/>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nl-NL" sz="1100" i="1" u="none">
                <a:solidFill>
                  <a:schemeClr val="tx1"/>
                </a:solidFill>
                <a:effectLst/>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nl-NL" sz="1100" i="1" u="none">
                  <a:solidFill>
                    <a:schemeClr val="tx1"/>
                  </a:solidFill>
                  <a:effectLst/>
                  <a:latin typeface="Trebuchet MS" panose="020B0603020202020204" pitchFamily="34" charset="0"/>
                  <a:ea typeface="+mn-ea"/>
                  <a:cs typeface="+mn-cs"/>
                </a:rPr>
                <a:t>180</a:t>
              </a:r>
              <a:r>
                <a:rPr lang="nl-NL" sz="1100" i="1">
                  <a:solidFill>
                    <a:schemeClr val="tx1"/>
                  </a:solidFill>
                  <a:effectLst/>
                  <a:latin typeface="Trebuchet MS" panose="020B0603020202020204" pitchFamily="34" charset="0"/>
                  <a:ea typeface="+mn-ea"/>
                  <a:cs typeface="Arial" panose="020B0604020202020204" pitchFamily="34" charset="0"/>
                </a:rPr>
                <a:t>º </a:t>
              </a:r>
              <a:endParaRPr lang="nl-NL" i="1" u="none">
                <a:effectLst/>
                <a:latin typeface="Trebuchet MS" panose="020B0603020202020204" pitchFamily="34" charset="0"/>
                <a:cs typeface="Arial" panose="020B0604020202020204" pitchFamily="34" charset="0"/>
              </a:endParaRPr>
            </a:p>
          </xdr:txBody>
        </xdr:sp>
      </xdr:grpSp>
      <xdr:grpSp>
        <xdr:nvGrpSpPr>
          <xdr:cNvPr id="25" name="Group 24"/>
          <xdr:cNvGrpSpPr/>
        </xdr:nvGrpSpPr>
        <xdr:grpSpPr>
          <a:xfrm>
            <a:off x="9701723" y="1488736"/>
            <a:ext cx="1621115" cy="2252362"/>
            <a:chOff x="9701723" y="1554219"/>
            <a:chExt cx="1621115" cy="2252362"/>
          </a:xfrm>
        </xdr:grpSpPr>
        <xdr:pic>
          <xdr:nvPicPr>
            <xdr:cNvPr id="17" name="Picture 16"/>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839738" y="2767943"/>
              <a:ext cx="1469937" cy="1038638"/>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20" name="Group 19"/>
            <xdr:cNvGrpSpPr/>
          </xdr:nvGrpSpPr>
          <xdr:grpSpPr>
            <a:xfrm>
              <a:off x="10088218" y="1755914"/>
              <a:ext cx="939252" cy="790163"/>
              <a:chOff x="4994416" y="1118153"/>
              <a:chExt cx="1253987" cy="1253987"/>
            </a:xfrm>
          </xdr:grpSpPr>
          <xdr:sp macro="" textlink="">
            <xdr:nvSpPr>
              <xdr:cNvPr id="19" name="Oval 18"/>
              <xdr:cNvSpPr/>
            </xdr:nvSpPr>
            <xdr:spPr>
              <a:xfrm>
                <a:off x="5010978" y="1143000"/>
                <a:ext cx="1225826" cy="1200978"/>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18" name="Picture 17"/>
              <xdr:cNvPicPr>
                <a:picLocks noChangeAspect="1" noChangeArrowheads="1"/>
              </xdr:cNvPicPr>
            </xdr:nvPicPr>
            <xdr:blipFill>
              <a:blip xmlns:r="http://schemas.openxmlformats.org/officeDocument/2006/relationships" r:embed="rId8" cstate="print">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4994416" y="1118153"/>
                <a:ext cx="1253987" cy="1253987"/>
              </a:xfrm>
              <a:prstGeom prst="rect">
                <a:avLst/>
              </a:prstGeom>
              <a:noFill/>
              <a:extLst>
                <a:ext uri="{909E8E84-426E-40DD-AFC4-6F175D3DCCD1}">
                  <a14:hiddenFill xmlns:a14="http://schemas.microsoft.com/office/drawing/2010/main">
                    <a:solidFill>
                      <a:srgbClr val="FFFFFF"/>
                    </a:solidFill>
                  </a14:hiddenFill>
                </a:ext>
              </a:extLst>
            </xdr:spPr>
          </xdr:pic>
        </xdr:grpSp>
        <xdr:sp macro="" textlink="">
          <xdr:nvSpPr>
            <xdr:cNvPr id="24" name="TextBox 23"/>
            <xdr:cNvSpPr txBox="1"/>
          </xdr:nvSpPr>
          <xdr:spPr>
            <a:xfrm>
              <a:off x="9701723" y="1554219"/>
              <a:ext cx="1621115" cy="11467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nl-NL" sz="1100" i="1">
                  <a:latin typeface="Trebuchet MS" panose="020B0603020202020204" pitchFamily="34" charset="0"/>
                </a:rPr>
                <a:t>0º</a:t>
              </a:r>
            </a:p>
            <a:p>
              <a:pPr marL="0" marR="0" lvl="0" indent="0" algn="ctr" defTabSz="914400" eaLnBrk="1" fontAlgn="auto" latinLnBrk="0" hangingPunct="1">
                <a:lnSpc>
                  <a:spcPct val="100000"/>
                </a:lnSpc>
                <a:spcBef>
                  <a:spcPts val="0"/>
                </a:spcBef>
                <a:spcAft>
                  <a:spcPts val="0"/>
                </a:spcAft>
                <a:buClrTx/>
                <a:buSzTx/>
                <a:buFontTx/>
                <a:buNone/>
                <a:tabLst/>
                <a:defRPr/>
              </a:pPr>
              <a:endParaRPr lang="nl-NL" sz="1100" i="1">
                <a:latin typeface="Trebuchet MS" panose="020B0603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nl-NL" sz="1100" i="1">
                <a:latin typeface="Trebuchet MS" panose="020B0603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nl-NL" sz="1100" i="1">
                  <a:solidFill>
                    <a:schemeClr val="tx1"/>
                  </a:solidFill>
                  <a:effectLst/>
                  <a:latin typeface="Trebuchet MS" panose="020B0603020202020204" pitchFamily="34" charset="0"/>
                  <a:ea typeface="+mn-ea"/>
                  <a:cs typeface="+mn-cs"/>
                </a:rPr>
                <a:t>270º                        90º</a:t>
              </a:r>
            </a:p>
            <a:p>
              <a:pPr marL="0" marR="0" lvl="0" indent="0" algn="ctr" defTabSz="914400" eaLnBrk="1" fontAlgn="auto" latinLnBrk="0" hangingPunct="1">
                <a:lnSpc>
                  <a:spcPct val="100000"/>
                </a:lnSpc>
                <a:spcBef>
                  <a:spcPts val="0"/>
                </a:spcBef>
                <a:spcAft>
                  <a:spcPts val="0"/>
                </a:spcAft>
                <a:buClrTx/>
                <a:buSzTx/>
                <a:buFontTx/>
                <a:buNone/>
                <a:tabLst/>
                <a:defRPr/>
              </a:pPr>
              <a:endParaRPr lang="nl-NL" sz="1100" i="1" u="none">
                <a:solidFill>
                  <a:schemeClr val="tx1"/>
                </a:solidFill>
                <a:effectLst/>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nl-NL" sz="1100" i="1" u="none">
                <a:solidFill>
                  <a:schemeClr val="tx1"/>
                </a:solidFill>
                <a:effectLst/>
                <a:latin typeface="Trebuchet MS" panose="020B0603020202020204"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nl-NL" sz="1100" i="1" u="none">
                  <a:solidFill>
                    <a:schemeClr val="tx1"/>
                  </a:solidFill>
                  <a:effectLst/>
                  <a:latin typeface="Trebuchet MS" panose="020B0603020202020204" pitchFamily="34" charset="0"/>
                  <a:ea typeface="+mn-ea"/>
                  <a:cs typeface="+mn-cs"/>
                </a:rPr>
                <a:t>180</a:t>
              </a:r>
              <a:r>
                <a:rPr lang="nl-NL" sz="1100" i="1">
                  <a:solidFill>
                    <a:schemeClr val="tx1"/>
                  </a:solidFill>
                  <a:effectLst/>
                  <a:latin typeface="Trebuchet MS" panose="020B0603020202020204" pitchFamily="34" charset="0"/>
                  <a:ea typeface="+mn-ea"/>
                  <a:cs typeface="Arial" panose="020B0604020202020204" pitchFamily="34" charset="0"/>
                </a:rPr>
                <a:t>º </a:t>
              </a:r>
              <a:endParaRPr lang="nl-NL" i="1" u="none">
                <a:effectLst/>
                <a:latin typeface="Trebuchet MS" panose="020B0603020202020204" pitchFamily="34" charset="0"/>
                <a:cs typeface="Arial" panose="020B0604020202020204" pitchFamily="34" charset="0"/>
              </a:endParaRPr>
            </a:p>
          </xdr:txBody>
        </xdr:sp>
      </xdr:grpSp>
    </xdr:grpSp>
    <xdr:clientData/>
  </xdr:twoCellAnchor>
</xdr:wsDr>
</file>

<file path=xl/tables/table1.xml><?xml version="1.0" encoding="utf-8"?>
<table xmlns="http://schemas.openxmlformats.org/spreadsheetml/2006/main" id="1" name="tblInstallatie" displayName="tblInstallatie" ref="B3:AP11" totalsRowShown="0" tableBorderDxfId="59">
  <autoFilter ref="B3:AP11"/>
  <tableColumns count="41">
    <tableColumn id="1" name="Installatie:" dataDxfId="58" dataCellStyle="Input"/>
    <tableColumn id="2" name="(Steiger-)_x000a_Locatie:" dataDxfId="57" dataCellStyle="Input"/>
    <tableColumn id="3" name="Unit:" dataDxfId="56" dataCellStyle="Input"/>
    <tableColumn id="4" name="Component:" dataDxfId="55" dataCellStyle="Input"/>
    <tableColumn id="5" name="Materiaal:" dataDxfId="54" dataCellStyle="Input"/>
    <tableColumn id="6" name="Corrosie marge:" dataDxfId="53" dataCellStyle="Input"/>
    <tableColumn id="7" name="Procesvoering:" dataDxfId="52"/>
    <tableColumn id="8" name="Product:" dataDxfId="51" dataCellStyle="Input"/>
    <tableColumn id="9" name="Generatie coating:" dataDxfId="50" dataCellStyle="Input"/>
    <tableColumn id="10" name="Ontwerp:" dataDxfId="49" dataCellStyle="Input"/>
    <tableColumn id="11" name="Proces &amp; Mens:" dataDxfId="48" dataCellStyle="Input"/>
    <tableColumn id="12" name="Isolatie:" dataDxfId="47" dataCellStyle="Input"/>
    <tableColumn id="13" name="LT_Coating:" dataDxfId="46" dataCellStyle="Output">
      <calculatedColumnFormula>IFERROR(IF(RIGHT(tblInstallatie[[#This Row],[Materiaal:]],3)="TSA",TSA_LTE,1)*IF(OR(IFERROR(FIND("gecoat",tblInstallatie[[#This Row],[Materiaal:]])&gt;0,0),IFERROR(FIND("TSA",tblInstallatie[[#This Row],[Materiaal:]])&gt;0,0)),
(CoatRefLT*(1-(CHOOSE(FIND(RIGHT(LEFT(I4,9),1),"iob"),0.5,0.3,0.05)+
CHOOSE(FIND(RIGHT(LEFT(K4,2),1),"85o"),0.9,0.75,0.05)+
CHOOSE(FIND(LEFT(L4,1),"PGOC"),0.9,0.5,0.25,0.1)+
CHOOSE(FIND(LEFT(M4,1),"UVOC"),0.9,
IF(LEFT(J4,1)="O",0.9,0.5),
0.25,0.1))/4)),
0),0)</calculatedColumnFormula>
    </tableColumn>
    <tableColumn id="14" name="Proces (skin-) temperatuur:" dataDxfId="45" dataCellStyle="Input"/>
    <tableColumn id="15" name="Proces type:" dataDxfId="44" dataCellStyle="Input"/>
    <tableColumn id="16" name="Isolatie type:" dataDxfId="43" dataCellStyle="Input"/>
    <tableColumn id="17" name="Isolatie materiaal:" dataDxfId="42" dataCellStyle="Input"/>
    <tableColumn id="18" name="In gebruik sinds:" dataDxfId="41" dataCellStyle="Input"/>
    <tableColumn id="19" name="Aantal nat-droog cycli:" dataDxfId="40" dataCellStyle="Input"/>
    <tableColumn id="20" name="Zout-risico:" dataDxfId="39" dataCellStyle="Input"/>
    <tableColumn id="21" name="Component_Typical:" dataDxfId="38" dataCellStyle="Input"/>
    <tableColumn id="22" name="Resterende tijd tot normatief falen:" dataDxfId="37" dataCellStyle="Output">
      <calculatedColumnFormula>IF(LEFT(F4,1)="C",
IFERROR(-(NOW()-S4)/365+N4+G4/(IFERROR(INDEX(ExpCorrDam,VLOOKUP(R4,TblIsolStimuFact,2,FALSE)),1)*
(INDEX(NatDroogRiskMatrix,MATCH(T4,DroogNatWissel,1),MATCH(O4,CorrTempBounds,1))+
INDEX(ZoutRiskMatrix,MATCH(U4,ZoutRisico,0),MATCH(O4,CorrTempBounds,1)))),"Onbeperkt"),
IF(LEFT(F4,1)="R",IF(O4&lt;40,"Onbeperkt",IF(-(NOW()-S4)/365+N4&gt;=0,-(NOW()-S4)/365+N4,INDEX(CorrRVS,1,(MATCH(O4,TempRVS,1))))),"?"))</calculatedColumnFormula>
    </tableColumn>
    <tableColumn id="23" name="Kans van falen:" dataDxfId="36" dataCellStyle="Output">
      <calculatedColumnFormula>IF(W4="SAO",5,
IF(W4="Onbeperkt",1,
IF(ISERROR(W4),"?",IFERROR(6-MATCH(W4,'NEN-EN 16991'!$C$3:$C$7,1),6))))</calculatedColumnFormula>
    </tableColumn>
    <tableColumn id="24" name="Health" dataDxfId="35" dataCellStyle="Input"/>
    <tableColumn id="25" name="Safety" dataDxfId="34" dataCellStyle="Input"/>
    <tableColumn id="26" name="Environment" dataDxfId="33" dataCellStyle="Input"/>
    <tableColumn id="27" name="Business (€)" dataDxfId="32" dataCellStyle="Input"/>
    <tableColumn id="28" name="Security" dataDxfId="31" dataCellStyle="Input"/>
    <tableColumn id="29" name="Loss of repu-tation" dataDxfId="30" dataCellStyle="Input"/>
    <tableColumn id="30" name="Public disrup-tion" dataDxfId="29" dataCellStyle="Input"/>
    <tableColumn id="31" name="Aanwezig risico" dataDxfId="28" dataCellStyle="Output">
      <calculatedColumnFormula>IFERROR(INDEX(Risk_MOTBF,6-MIN(5,Installatie!X4),IFERROR(IF(SEARCH("E",CONCATENATE(Y4,Z4,AA4,AB4,AC4,AD4,AE4))&gt;0,5,0),IFERROR(IF(SEARCH("D",CONCATENATE(Y4,Z4,AA4,AB4,AC4,AD4,AE4))&gt;0,4,0),IFERROR(IF(SEARCH("C",CONCATENATE(Y4,Z4,AA4,AB4,AC4,AD4,AE4))&gt;0,3,0),IFERROR(IF(SEARCH("B",CONCATENATE(Y4,Z4,AA4,AB4,AC4,AD4,AE4))&gt;0,2,0),IFERROR(IF(SEARCH("A",CONCATENATE(Y4,Z4,AA4,AB4,AC4,AD4,AE4))&gt;0,1,0),"?")))))),"?")</calculatedColumnFormula>
    </tableColumn>
    <tableColumn id="32" name="Risico; kwalitatief" dataDxfId="27" dataCellStyle="Output">
      <calculatedColumnFormula>CHOOSE(IF(AF4&gt;'NEN-EN 16991'!$AF$2,5,IF(AF4&gt;'NEN-EN 16991'!$AE$2,4,IF(AF4&gt;'NEN-EN 16991'!$AD$2,3,IF(AF4&gt;'NEN-EN 16991'!$AC$2,2,1)))),"Very low","Low","Medium","High","Very high")</calculatedColumnFormula>
    </tableColumn>
    <tableColumn id="33" name="Conditie:" dataDxfId="26" dataCellStyle="Input"/>
    <tableColumn id="34" name="Weersinvloeden:" dataDxfId="25" dataCellStyle="Input"/>
    <tableColumn id="35" name="Mate van inlek:" dataDxfId="24" dataCellStyle="Output">
      <calculatedColumnFormula>IFERROR(CHOOSE(1+(1-IFERROR(MATCH("*"&amp;"droog"&amp;"*",AI4,0),0))*MAX(IFERROR(LEFT(AH4,1),"?")-2,0),"Geen","Gering","Matig","Zwaar","Zwaar","Zwaar"),"?")</calculatedColumnFormula>
    </tableColumn>
    <tableColumn id="36" name="Aanwezig risico (ivm isolatie)" dataDxfId="23" dataCellStyle="Output">
      <calculatedColumnFormula>IFERROR(IF(AJ4="Geen",0,1)*AF4,IF(AJ4="Geen",0,"?"))</calculatedColumnFormula>
    </tableColumn>
    <tableColumn id="41" name="Risico; Isolatie conditie;_x000a_kwalitatief" dataDxfId="22" dataCellStyle="Output">
      <calculatedColumnFormula>CHOOSE(IF(AK4&gt;'NEN-EN 16991'!$AF$2,5,IF(AK4&gt;'NEN-EN 16991'!$AE$2,4,IF(AK4&gt;'NEN-EN 16991'!$AD$2,3,IF(AK4&gt;'NEN-EN 16991'!$AC$2,2,1)))),"Very low","Low","Medium","High","Very high")</calculatedColumnFormula>
    </tableColumn>
    <tableColumn id="37" name="Toe te passen beheers-maatregel:" dataDxfId="21" dataCellStyle="Input"/>
    <tableColumn id="38" name="Mate van risico reductie:" dataDxfId="20" dataCellStyle="Output">
      <calculatedColumnFormula>IFERROR(INDEX(NDTEff,FIND(INDEX(NDTEffRatings,MATCH(V4,Typicals,0),MATCH(AM4,NDT_Techn,0)),"ABCDE"),2),"?")</calculatedColumnFormula>
    </tableColumn>
    <tableColumn id="39" name="Aanwezig rest-risico" dataDxfId="19" dataCellStyle="Output">
      <calculatedColumnFormula>IFERROR((1-AN4)*AK4,"?")</calculatedColumnFormula>
    </tableColumn>
    <tableColumn id="40" name="Rest-risico; kwalitatief" dataDxfId="18" dataCellStyle="Output">
      <calculatedColumnFormula>IF(tblInstallatie[[#This Row],[Aanwezig rest-risico]]="?",tblInstallatie[[#This Row],[Risico; Isolatie conditie;
kwalitatief]],CHOOSE(IF(tblInstallatie[[#This Row],[Aanwezig rest-risico]]&gt;'NEN-EN 16991'!$AF$2,5,IF(tblInstallatie[[#This Row],[Aanwezig rest-risico]]&gt;'NEN-EN 16991'!$AE$2,4,IF(tblInstallatie[[#This Row],[Aanwezig rest-risico]]&gt;'NEN-EN 16991'!$AD$2,3,IF(tblInstallatie[[#This Row],[Aanwezig rest-risico]]&gt;'NEN-EN 16991'!$AC$2,2,1)))),"Very low","Low","Medium","High","Very high"))</calculatedColumnFormula>
    </tableColumn>
  </tableColumns>
  <tableStyleInfo name="CUI_Risk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arth.google.com/web/@49.52762482,8.42070398,99.54125575a,99.25755935d,35y,126.24522392h,0t,0r"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H52"/>
  <sheetViews>
    <sheetView showRowColHeaders="0" tabSelected="1" zoomScaleNormal="100" workbookViewId="0">
      <selection activeCell="F4" sqref="F4"/>
    </sheetView>
  </sheetViews>
  <sheetFormatPr defaultColWidth="0" defaultRowHeight="15" zeroHeight="1" x14ac:dyDescent="0.3"/>
  <cols>
    <col min="1" max="1" width="14" customWidth="1"/>
    <col min="2" max="2" width="9.140625" customWidth="1"/>
    <col min="3" max="3" width="36.28515625" customWidth="1"/>
    <col min="4" max="4" width="11.7109375" customWidth="1"/>
    <col min="5" max="5" width="15.7109375" customWidth="1"/>
    <col min="6" max="6" width="59.28515625" customWidth="1"/>
    <col min="7" max="7" width="9.140625" customWidth="1"/>
    <col min="8" max="8" width="0.140625" customWidth="1"/>
    <col min="9" max="16384" width="9.140625" hidden="1"/>
  </cols>
  <sheetData>
    <row r="1" spans="1:8" ht="45.75" thickBot="1" x14ac:dyDescent="0.35">
      <c r="A1" s="59"/>
      <c r="B1" s="59"/>
      <c r="C1" s="59"/>
      <c r="D1" s="59"/>
      <c r="E1" s="59"/>
      <c r="F1" s="59"/>
      <c r="G1" s="59"/>
      <c r="H1" s="3" t="s">
        <v>0</v>
      </c>
    </row>
    <row r="2" spans="1:8" x14ac:dyDescent="0.3">
      <c r="A2" s="59"/>
      <c r="B2" s="51"/>
      <c r="C2" s="52"/>
      <c r="D2" s="52"/>
      <c r="E2" s="52"/>
      <c r="F2" s="52"/>
      <c r="G2" s="56"/>
      <c r="H2" s="1"/>
    </row>
    <row r="3" spans="1:8" ht="15.75" thickBot="1" x14ac:dyDescent="0.35">
      <c r="A3" s="59"/>
      <c r="B3" s="50"/>
      <c r="C3" s="53"/>
      <c r="D3" s="53"/>
      <c r="E3" s="53"/>
      <c r="F3" s="53"/>
      <c r="G3" s="61" t="s">
        <v>111</v>
      </c>
      <c r="H3" s="1"/>
    </row>
    <row r="4" spans="1:8" ht="27.75" x14ac:dyDescent="0.45">
      <c r="A4" s="59"/>
      <c r="B4" s="55"/>
      <c r="C4" s="60" t="s">
        <v>106</v>
      </c>
      <c r="D4" s="2"/>
      <c r="E4" s="2"/>
      <c r="F4" s="2"/>
      <c r="G4" s="55"/>
      <c r="H4" s="1"/>
    </row>
    <row r="5" spans="1:8" x14ac:dyDescent="0.3">
      <c r="A5" s="59"/>
      <c r="B5" s="55"/>
      <c r="C5" s="48" t="s">
        <v>107</v>
      </c>
      <c r="D5" s="49" t="s">
        <v>108</v>
      </c>
      <c r="E5" s="49"/>
      <c r="F5" s="2"/>
      <c r="G5" s="55"/>
      <c r="H5" s="1"/>
    </row>
    <row r="6" spans="1:8" x14ac:dyDescent="0.3">
      <c r="A6" s="59"/>
      <c r="B6" s="55"/>
      <c r="C6" s="49" t="s">
        <v>143</v>
      </c>
      <c r="D6" s="2"/>
      <c r="E6" s="2"/>
      <c r="F6" s="2"/>
      <c r="G6" s="55"/>
      <c r="H6" s="1"/>
    </row>
    <row r="7" spans="1:8" x14ac:dyDescent="0.3">
      <c r="A7" s="59"/>
      <c r="B7" s="55"/>
      <c r="C7" s="49" t="s">
        <v>144</v>
      </c>
      <c r="D7" s="2"/>
      <c r="E7" s="2"/>
      <c r="F7" s="2"/>
      <c r="G7" s="55"/>
      <c r="H7" s="1"/>
    </row>
    <row r="8" spans="1:8" x14ac:dyDescent="0.3">
      <c r="A8" s="59"/>
      <c r="B8" s="55"/>
      <c r="C8" s="49" t="s">
        <v>145</v>
      </c>
      <c r="D8" s="2"/>
      <c r="E8" s="2"/>
      <c r="F8" s="2"/>
      <c r="G8" s="55"/>
      <c r="H8" s="1"/>
    </row>
    <row r="9" spans="1:8" x14ac:dyDescent="0.3">
      <c r="A9" s="59"/>
      <c r="B9" s="55"/>
      <c r="C9" s="49" t="s">
        <v>109</v>
      </c>
      <c r="D9" s="2"/>
      <c r="E9" s="2"/>
      <c r="F9" s="2"/>
      <c r="G9" s="55"/>
      <c r="H9" s="1"/>
    </row>
    <row r="10" spans="1:8" x14ac:dyDescent="0.3">
      <c r="A10" s="59"/>
      <c r="B10" s="55"/>
      <c r="C10" s="49"/>
      <c r="D10" s="2"/>
      <c r="E10" s="2"/>
      <c r="F10" s="2"/>
      <c r="G10" s="55"/>
      <c r="H10" s="1"/>
    </row>
    <row r="11" spans="1:8" x14ac:dyDescent="0.3">
      <c r="A11" s="59"/>
      <c r="B11" s="55"/>
      <c r="C11" s="49" t="s">
        <v>121</v>
      </c>
      <c r="D11" s="2"/>
      <c r="E11" s="2"/>
      <c r="F11" s="2"/>
      <c r="G11" s="55"/>
      <c r="H11" s="1"/>
    </row>
    <row r="12" spans="1:8" x14ac:dyDescent="0.3">
      <c r="A12" s="59"/>
      <c r="B12" s="55"/>
      <c r="C12" s="49" t="s">
        <v>110</v>
      </c>
      <c r="D12" s="2"/>
      <c r="E12" s="2"/>
      <c r="F12" s="2"/>
      <c r="G12" s="55"/>
      <c r="H12" s="1"/>
    </row>
    <row r="13" spans="1:8" x14ac:dyDescent="0.3">
      <c r="A13" s="59"/>
      <c r="B13" s="55"/>
      <c r="C13" s="49" t="s">
        <v>122</v>
      </c>
      <c r="D13" s="2"/>
      <c r="E13" s="2"/>
      <c r="F13" s="2"/>
      <c r="G13" s="55"/>
      <c r="H13" s="1"/>
    </row>
    <row r="14" spans="1:8" x14ac:dyDescent="0.3">
      <c r="A14" s="59"/>
      <c r="B14" s="55"/>
      <c r="C14" s="49"/>
      <c r="D14" s="2"/>
      <c r="E14" s="2"/>
      <c r="F14" s="2"/>
      <c r="G14" s="55"/>
      <c r="H14" s="1"/>
    </row>
    <row r="15" spans="1:8" ht="15.75" x14ac:dyDescent="0.35">
      <c r="A15" s="59"/>
      <c r="B15" s="55"/>
      <c r="C15" s="49" t="s">
        <v>120</v>
      </c>
      <c r="D15" s="2"/>
      <c r="E15" s="2"/>
      <c r="F15" s="2"/>
      <c r="G15" s="55"/>
      <c r="H15" s="1"/>
    </row>
    <row r="16" spans="1:8" x14ac:dyDescent="0.3">
      <c r="A16" s="59"/>
      <c r="B16" s="55"/>
      <c r="C16" s="62" t="s">
        <v>115</v>
      </c>
      <c r="D16" s="10" t="s">
        <v>112</v>
      </c>
      <c r="E16" s="69"/>
      <c r="F16" s="2"/>
      <c r="G16" s="55"/>
      <c r="H16" s="1"/>
    </row>
    <row r="17" spans="1:8" x14ac:dyDescent="0.3">
      <c r="A17" s="59"/>
      <c r="B17" s="55"/>
      <c r="C17" s="62" t="s">
        <v>366</v>
      </c>
      <c r="D17" s="260" t="s">
        <v>112</v>
      </c>
      <c r="E17" s="69" t="s">
        <v>365</v>
      </c>
      <c r="F17" s="2"/>
      <c r="G17" s="55"/>
      <c r="H17" s="1"/>
    </row>
    <row r="18" spans="1:8" x14ac:dyDescent="0.3">
      <c r="A18" s="59"/>
      <c r="B18" s="55"/>
      <c r="C18" s="62" t="s">
        <v>113</v>
      </c>
      <c r="D18" s="71" t="s">
        <v>114</v>
      </c>
      <c r="E18" s="69"/>
      <c r="F18" s="2"/>
      <c r="G18" s="55"/>
      <c r="H18" s="1"/>
    </row>
    <row r="19" spans="1:8" x14ac:dyDescent="0.3">
      <c r="A19" s="59"/>
      <c r="B19" s="55"/>
      <c r="C19" s="62"/>
      <c r="D19" s="69"/>
      <c r="E19" s="69"/>
      <c r="F19" s="2"/>
      <c r="G19" s="55"/>
      <c r="H19" s="1"/>
    </row>
    <row r="20" spans="1:8" x14ac:dyDescent="0.3">
      <c r="A20" s="59"/>
      <c r="B20" s="55"/>
      <c r="C20" s="76" t="s">
        <v>173</v>
      </c>
      <c r="D20" s="69"/>
      <c r="E20" s="69"/>
      <c r="F20" s="2"/>
      <c r="G20" s="55"/>
      <c r="H20" s="1"/>
    </row>
    <row r="21" spans="1:8" x14ac:dyDescent="0.3">
      <c r="A21" s="59"/>
      <c r="B21" s="55"/>
      <c r="C21" s="106" t="s">
        <v>350</v>
      </c>
      <c r="D21" s="77"/>
      <c r="E21" s="77"/>
      <c r="F21" s="2"/>
      <c r="G21" s="55"/>
      <c r="H21" s="1"/>
    </row>
    <row r="22" spans="1:8" x14ac:dyDescent="0.3">
      <c r="A22" s="59"/>
      <c r="B22" s="55"/>
      <c r="C22" s="106" t="s">
        <v>349</v>
      </c>
      <c r="D22" s="77"/>
      <c r="E22" s="77"/>
      <c r="F22" s="2"/>
      <c r="G22" s="55"/>
      <c r="H22" s="1"/>
    </row>
    <row r="23" spans="1:8" x14ac:dyDescent="0.3">
      <c r="A23" s="59"/>
      <c r="B23" s="55"/>
      <c r="C23" s="106" t="s">
        <v>351</v>
      </c>
      <c r="D23" s="77"/>
      <c r="E23" s="77"/>
      <c r="F23" s="2"/>
      <c r="G23" s="55"/>
      <c r="H23" s="1"/>
    </row>
    <row r="24" spans="1:8" x14ac:dyDescent="0.3">
      <c r="A24" s="59"/>
      <c r="B24" s="55"/>
      <c r="C24" s="106" t="s">
        <v>352</v>
      </c>
      <c r="D24" s="77"/>
      <c r="E24" s="77"/>
      <c r="F24" s="2"/>
      <c r="G24" s="55"/>
      <c r="H24" s="1"/>
    </row>
    <row r="25" spans="1:8" x14ac:dyDescent="0.3">
      <c r="A25" s="59"/>
      <c r="B25" s="55"/>
      <c r="C25" s="49" t="s">
        <v>353</v>
      </c>
      <c r="D25" s="77"/>
      <c r="E25" s="77"/>
      <c r="F25" s="2"/>
      <c r="G25" s="55"/>
      <c r="H25" s="1"/>
    </row>
    <row r="26" spans="1:8" x14ac:dyDescent="0.3">
      <c r="A26" s="59"/>
      <c r="B26" s="55"/>
      <c r="C26" s="49" t="s">
        <v>245</v>
      </c>
      <c r="D26" s="77"/>
      <c r="E26" s="77"/>
      <c r="F26" s="2"/>
      <c r="G26" s="55"/>
      <c r="H26" s="1"/>
    </row>
    <row r="27" spans="1:8" x14ac:dyDescent="0.3">
      <c r="A27" s="59"/>
      <c r="B27" s="55"/>
      <c r="C27" s="49" t="s">
        <v>244</v>
      </c>
      <c r="D27" s="77"/>
      <c r="E27" s="77"/>
      <c r="F27" s="2"/>
      <c r="G27" s="55"/>
      <c r="H27" s="1"/>
    </row>
    <row r="28" spans="1:8" x14ac:dyDescent="0.3">
      <c r="A28" s="59"/>
      <c r="B28" s="55"/>
      <c r="C28" s="49" t="s">
        <v>354</v>
      </c>
      <c r="D28" s="77"/>
      <c r="E28" s="77"/>
      <c r="F28" s="2"/>
      <c r="G28" s="55"/>
      <c r="H28" s="1"/>
    </row>
    <row r="29" spans="1:8" x14ac:dyDescent="0.3">
      <c r="A29" s="59"/>
      <c r="B29" s="55"/>
      <c r="C29" s="49" t="s">
        <v>241</v>
      </c>
      <c r="D29" s="77"/>
      <c r="E29" s="77"/>
      <c r="F29" s="2"/>
      <c r="G29" s="55"/>
      <c r="H29" s="1"/>
    </row>
    <row r="30" spans="1:8" x14ac:dyDescent="0.3">
      <c r="A30" s="59"/>
      <c r="B30" s="55"/>
      <c r="C30" s="49" t="s">
        <v>246</v>
      </c>
      <c r="D30" s="77"/>
      <c r="E30" s="77"/>
      <c r="F30" s="2"/>
      <c r="G30" s="55"/>
      <c r="H30" s="1"/>
    </row>
    <row r="31" spans="1:8" x14ac:dyDescent="0.3">
      <c r="A31" s="59"/>
      <c r="B31" s="55"/>
      <c r="C31" s="49" t="s">
        <v>355</v>
      </c>
      <c r="D31" s="77"/>
      <c r="E31" s="77"/>
      <c r="F31" s="2"/>
      <c r="G31" s="55"/>
      <c r="H31" s="1"/>
    </row>
    <row r="32" spans="1:8" x14ac:dyDescent="0.3">
      <c r="A32" s="59"/>
      <c r="B32" s="55"/>
      <c r="C32" s="49" t="s">
        <v>242</v>
      </c>
      <c r="D32" s="77"/>
      <c r="E32" s="77"/>
      <c r="F32" s="2"/>
      <c r="G32" s="55"/>
      <c r="H32" s="1"/>
    </row>
    <row r="33" spans="1:8" x14ac:dyDescent="0.3">
      <c r="A33" s="59"/>
      <c r="B33" s="55"/>
      <c r="C33" s="49"/>
      <c r="D33" s="69"/>
      <c r="E33" s="69"/>
      <c r="F33" s="2"/>
      <c r="G33" s="55"/>
      <c r="H33" s="1"/>
    </row>
    <row r="34" spans="1:8" x14ac:dyDescent="0.3">
      <c r="A34" s="59"/>
      <c r="B34" s="55"/>
      <c r="C34" s="76" t="s">
        <v>177</v>
      </c>
      <c r="D34" s="69"/>
      <c r="E34" s="69"/>
      <c r="F34" s="2"/>
      <c r="G34" s="55"/>
      <c r="H34" s="1"/>
    </row>
    <row r="35" spans="1:8" x14ac:dyDescent="0.3">
      <c r="A35" s="59"/>
      <c r="B35" s="55"/>
      <c r="C35" s="107" t="s">
        <v>178</v>
      </c>
      <c r="D35" s="69"/>
      <c r="E35" s="69"/>
      <c r="F35" s="2"/>
      <c r="G35" s="55"/>
      <c r="H35" s="1"/>
    </row>
    <row r="36" spans="1:8" x14ac:dyDescent="0.3">
      <c r="A36" s="59"/>
      <c r="B36" s="55"/>
      <c r="C36" s="107" t="s">
        <v>174</v>
      </c>
      <c r="D36" s="69"/>
      <c r="E36" s="69"/>
      <c r="F36" s="2"/>
      <c r="G36" s="55"/>
      <c r="H36" s="1"/>
    </row>
    <row r="37" spans="1:8" x14ac:dyDescent="0.3">
      <c r="A37" s="59"/>
      <c r="B37" s="55"/>
      <c r="C37" s="107" t="s">
        <v>175</v>
      </c>
      <c r="D37" s="69"/>
      <c r="E37" s="69"/>
      <c r="F37" s="2"/>
      <c r="G37" s="55"/>
      <c r="H37" s="1"/>
    </row>
    <row r="38" spans="1:8" x14ac:dyDescent="0.3">
      <c r="A38" s="59"/>
      <c r="B38" s="55"/>
      <c r="C38" s="107" t="s">
        <v>176</v>
      </c>
      <c r="D38" s="69"/>
      <c r="E38" s="69"/>
      <c r="F38" s="2"/>
      <c r="G38" s="55"/>
      <c r="H38" s="1"/>
    </row>
    <row r="39" spans="1:8" ht="15.75" thickBot="1" x14ac:dyDescent="0.35">
      <c r="A39" s="59"/>
      <c r="B39" s="55"/>
      <c r="C39" s="78"/>
      <c r="D39" s="70"/>
      <c r="E39" s="70"/>
      <c r="F39" s="2"/>
      <c r="G39" s="55"/>
      <c r="H39" s="1"/>
    </row>
    <row r="40" spans="1:8" x14ac:dyDescent="0.3">
      <c r="A40" s="59"/>
      <c r="B40" s="50"/>
      <c r="C40" s="52"/>
      <c r="D40" s="52"/>
      <c r="E40" s="52"/>
      <c r="F40" s="52"/>
      <c r="G40" s="57"/>
      <c r="H40" s="1"/>
    </row>
    <row r="41" spans="1:8" ht="15.75" thickBot="1" x14ac:dyDescent="0.35">
      <c r="A41" s="59"/>
      <c r="B41" s="54"/>
      <c r="C41" s="53"/>
      <c r="D41" s="53"/>
      <c r="E41" s="53"/>
      <c r="F41" s="53"/>
      <c r="G41" s="58"/>
      <c r="H41" s="1"/>
    </row>
    <row r="42" spans="1:8" hidden="1" x14ac:dyDescent="0.3"/>
    <row r="43" spans="1:8" hidden="1" x14ac:dyDescent="0.3"/>
    <row r="44" spans="1:8" hidden="1" x14ac:dyDescent="0.3"/>
    <row r="45" spans="1:8" hidden="1" x14ac:dyDescent="0.3"/>
    <row r="46" spans="1:8" hidden="1" x14ac:dyDescent="0.3"/>
    <row r="47" spans="1:8" hidden="1" x14ac:dyDescent="0.3"/>
    <row r="48" spans="1:8" hidden="1" x14ac:dyDescent="0.3"/>
    <row r="49" hidden="1" x14ac:dyDescent="0.3"/>
    <row r="50" hidden="1" x14ac:dyDescent="0.3"/>
    <row r="51" hidden="1" x14ac:dyDescent="0.3"/>
    <row r="52" hidden="1" x14ac:dyDescent="0.3"/>
  </sheetData>
  <dataValidations count="1">
    <dataValidation allowBlank="1" showInputMessage="1" showErrorMessage="1" promptTitle="Nota bene:" prompt="Wanneer een veld in een sheet zó is weergegeven, heeft het al dan niet invullen van de informatie géén invloed op de uitkomst._x000a_Het veld heeft daarmee, als gevolg van andere ingevulde gegevens, in dit specifieke geval GEEN effect op de risico beoordeling." sqref="D17"/>
  </dataValidations>
  <pageMargins left="0.70866141732283472" right="0.70866141732283472" top="1.3385826771653544" bottom="0.74803149606299213" header="0.31496062992125984" footer="0.31496062992125984"/>
  <pageSetup paperSize="9" orientation="landscape" r:id="rId1"/>
  <headerFooter>
    <oddHeader>&amp;L&amp;G&amp;RWorld Class Maintenance project: Risk Based CUI Management.</oddHeader>
    <oddFooter>&amp;L&amp;9File / Tab: &amp;F / &amp;A&amp;C&amp;9Printdatum: &amp;D&amp;R&amp;9Bladzijde &amp;P van &amp;N.</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Q11"/>
  <sheetViews>
    <sheetView zoomScaleNormal="100" workbookViewId="0">
      <selection activeCell="A14" sqref="A14"/>
    </sheetView>
  </sheetViews>
  <sheetFormatPr defaultColWidth="0" defaultRowHeight="15" x14ac:dyDescent="0.3"/>
  <cols>
    <col min="1" max="1" width="3.7109375" customWidth="1"/>
    <col min="2" max="2" width="22.42578125" customWidth="1"/>
    <col min="3" max="3" width="16.7109375" customWidth="1"/>
    <col min="4" max="4" width="17.7109375" customWidth="1"/>
    <col min="5" max="5" width="17.85546875" customWidth="1"/>
    <col min="6" max="6" width="14.140625" customWidth="1"/>
    <col min="7" max="7" width="13.140625" customWidth="1"/>
    <col min="8" max="8" width="18.7109375" customWidth="1"/>
    <col min="9" max="9" width="14.140625" customWidth="1"/>
    <col min="10" max="10" width="21.7109375" customWidth="1"/>
    <col min="11" max="11" width="14.140625" style="111" customWidth="1"/>
    <col min="12" max="12" width="18.7109375" customWidth="1"/>
    <col min="13" max="13" width="21.7109375" customWidth="1"/>
    <col min="14" max="14" width="13.85546875" customWidth="1"/>
    <col min="15" max="15" width="19.140625" customWidth="1"/>
    <col min="16" max="16" width="16.42578125" customWidth="1"/>
    <col min="17" max="17" width="13" customWidth="1"/>
    <col min="18" max="18" width="20.7109375" customWidth="1"/>
    <col min="19" max="19" width="15.140625" customWidth="1"/>
    <col min="20" max="20" width="15.5703125" customWidth="1"/>
    <col min="21" max="21" width="15" customWidth="1"/>
    <col min="22" max="22" width="35.28515625" customWidth="1"/>
    <col min="23" max="23" width="21" customWidth="1"/>
    <col min="24" max="24" width="13.7109375" customWidth="1"/>
    <col min="25" max="31" width="9.28515625" customWidth="1"/>
    <col min="32" max="32" width="16.42578125" customWidth="1"/>
    <col min="33" max="33" width="14.7109375" customWidth="1"/>
    <col min="34" max="34" width="13.140625" customWidth="1"/>
    <col min="35" max="35" width="18.85546875" customWidth="1"/>
    <col min="36" max="36" width="14.7109375" customWidth="1"/>
    <col min="37" max="38" width="17.28515625" customWidth="1"/>
    <col min="39" max="39" width="35.28515625" customWidth="1"/>
    <col min="40" max="40" width="12.28515625" customWidth="1"/>
    <col min="41" max="41" width="11.85546875" customWidth="1"/>
    <col min="42" max="42" width="17.5703125" customWidth="1"/>
    <col min="43" max="43" width="32" customWidth="1"/>
    <col min="44" max="16384" width="9.140625" hidden="1"/>
  </cols>
  <sheetData>
    <row r="1" spans="2:42" x14ac:dyDescent="0.3">
      <c r="F1" s="9" t="s">
        <v>385</v>
      </c>
      <c r="G1" s="4" t="s">
        <v>390</v>
      </c>
    </row>
    <row r="2" spans="2:42" x14ac:dyDescent="0.3">
      <c r="B2" s="250" t="s">
        <v>146</v>
      </c>
      <c r="C2" s="250"/>
      <c r="D2" s="250"/>
      <c r="E2" s="250"/>
      <c r="F2" s="250"/>
      <c r="G2" s="250"/>
      <c r="H2" s="250"/>
      <c r="I2" s="250" t="s">
        <v>315</v>
      </c>
      <c r="J2" s="250"/>
      <c r="K2" s="251"/>
      <c r="L2" s="250"/>
      <c r="M2" s="250"/>
      <c r="N2" s="250"/>
      <c r="O2" s="250"/>
      <c r="P2" s="250"/>
      <c r="Q2" s="250"/>
      <c r="R2" s="250"/>
      <c r="S2" s="250"/>
      <c r="T2" s="250"/>
      <c r="U2" s="250"/>
      <c r="V2" s="252"/>
      <c r="W2" s="250" t="s">
        <v>149</v>
      </c>
      <c r="X2" s="250"/>
      <c r="Y2" s="250"/>
      <c r="Z2" s="250"/>
      <c r="AA2" s="250"/>
      <c r="AB2" s="250"/>
      <c r="AC2" s="250"/>
      <c r="AD2" s="250"/>
      <c r="AE2" s="250"/>
      <c r="AF2" s="250"/>
      <c r="AG2" s="252"/>
      <c r="AH2" s="250" t="s">
        <v>152</v>
      </c>
      <c r="AI2" s="250"/>
      <c r="AJ2" s="250"/>
      <c r="AK2" s="250"/>
      <c r="AL2" s="252"/>
      <c r="AM2" s="250" t="s">
        <v>151</v>
      </c>
      <c r="AN2" s="250"/>
      <c r="AO2" s="250"/>
      <c r="AP2" s="252"/>
    </row>
    <row r="3" spans="2:42" ht="45" x14ac:dyDescent="0.3">
      <c r="B3" s="88" t="s">
        <v>1</v>
      </c>
      <c r="C3" s="88" t="s">
        <v>243</v>
      </c>
      <c r="D3" s="88" t="s">
        <v>2</v>
      </c>
      <c r="E3" s="88" t="s">
        <v>3</v>
      </c>
      <c r="F3" s="88" t="s">
        <v>4</v>
      </c>
      <c r="G3" s="88" t="s">
        <v>105</v>
      </c>
      <c r="H3" s="79" t="s">
        <v>8</v>
      </c>
      <c r="I3" s="115" t="s">
        <v>247</v>
      </c>
      <c r="J3" s="115" t="s">
        <v>248</v>
      </c>
      <c r="K3" s="116" t="s">
        <v>249</v>
      </c>
      <c r="L3" s="115" t="s">
        <v>250</v>
      </c>
      <c r="M3" s="115" t="s">
        <v>5</v>
      </c>
      <c r="N3" s="115" t="s">
        <v>256</v>
      </c>
      <c r="O3" s="88" t="s">
        <v>331</v>
      </c>
      <c r="P3" s="88" t="s">
        <v>9</v>
      </c>
      <c r="Q3" s="88" t="s">
        <v>357</v>
      </c>
      <c r="R3" s="88" t="s">
        <v>332</v>
      </c>
      <c r="S3" s="88" t="s">
        <v>7</v>
      </c>
      <c r="T3" s="88" t="s">
        <v>333</v>
      </c>
      <c r="U3" s="88" t="s">
        <v>334</v>
      </c>
      <c r="V3" s="88" t="s">
        <v>356</v>
      </c>
      <c r="W3" s="88" t="s">
        <v>345</v>
      </c>
      <c r="X3" s="89" t="s">
        <v>102</v>
      </c>
      <c r="Y3" s="92" t="s">
        <v>47</v>
      </c>
      <c r="Z3" s="93" t="s">
        <v>48</v>
      </c>
      <c r="AA3" s="93" t="s">
        <v>59</v>
      </c>
      <c r="AB3" s="93" t="s">
        <v>65</v>
      </c>
      <c r="AC3" s="93" t="s">
        <v>66</v>
      </c>
      <c r="AD3" s="93" t="s">
        <v>147</v>
      </c>
      <c r="AE3" s="93" t="s">
        <v>148</v>
      </c>
      <c r="AF3" s="95" t="s">
        <v>103</v>
      </c>
      <c r="AG3" s="95" t="s">
        <v>150</v>
      </c>
      <c r="AH3" s="253" t="s">
        <v>6</v>
      </c>
      <c r="AI3" s="254" t="s">
        <v>14</v>
      </c>
      <c r="AJ3" s="254" t="s">
        <v>16</v>
      </c>
      <c r="AK3" s="255" t="s">
        <v>360</v>
      </c>
      <c r="AL3" s="255" t="s">
        <v>389</v>
      </c>
      <c r="AM3" s="94" t="s">
        <v>153</v>
      </c>
      <c r="AN3" s="268" t="s">
        <v>116</v>
      </c>
      <c r="AO3" s="269" t="s">
        <v>117</v>
      </c>
      <c r="AP3" s="270" t="s">
        <v>386</v>
      </c>
    </row>
    <row r="4" spans="2:42" x14ac:dyDescent="0.3">
      <c r="B4" s="81" t="s">
        <v>154</v>
      </c>
      <c r="C4" s="81"/>
      <c r="D4" s="81">
        <v>200</v>
      </c>
      <c r="E4" s="81" t="s">
        <v>162</v>
      </c>
      <c r="F4" s="81" t="s">
        <v>359</v>
      </c>
      <c r="G4" s="82">
        <v>2</v>
      </c>
      <c r="H4" s="80" t="s">
        <v>392</v>
      </c>
      <c r="I4" s="112" t="s">
        <v>391</v>
      </c>
      <c r="J4" s="113" t="s">
        <v>251</v>
      </c>
      <c r="K4" s="10" t="s">
        <v>252</v>
      </c>
      <c r="L4" s="10" t="s">
        <v>254</v>
      </c>
      <c r="M4" s="10" t="s">
        <v>255</v>
      </c>
      <c r="N4" s="114">
        <f>IFERROR(IF(RIGHT(tblInstallatie[[#This Row],[Materiaal:]],3)="TSA",TSA_LTE,1)*IF(OR(IFERROR(FIND("gecoat",tblInstallatie[[#This Row],[Materiaal:]])&gt;0,0),IFERROR(FIND("TSA",tblInstallatie[[#This Row],[Materiaal:]])&gt;0,0)),
(CoatRefLT*(1-(CHOOSE(FIND(RIGHT(LEFT(I4,9),1),"iob"),0.5,0.3,0.05)+
CHOOSE(FIND(RIGHT(LEFT(K4,2),1),"85o"),0.9,0.75,0.05)+
CHOOSE(FIND(LEFT(L4,1),"PGOC"),0.9,0.5,0.25,0.1)+
CHOOSE(FIND(LEFT(M4,1),"UVOC"),0.9,
IF(LEFT(J4,1)="O",0.9,0.5),
0.25,0.1))/4)),
0),0)</f>
        <v>11.25</v>
      </c>
      <c r="O4" s="96">
        <v>50</v>
      </c>
      <c r="P4" s="81" t="s">
        <v>11</v>
      </c>
      <c r="Q4" s="81" t="s">
        <v>13</v>
      </c>
      <c r="R4" s="10" t="s">
        <v>326</v>
      </c>
      <c r="S4" s="83">
        <v>40179</v>
      </c>
      <c r="T4" s="194">
        <v>100</v>
      </c>
      <c r="U4" s="194" t="s">
        <v>339</v>
      </c>
      <c r="V4" s="81" t="s">
        <v>367</v>
      </c>
      <c r="W4" s="248">
        <f t="shared" ref="W4:W11" ca="1" si="0">IF(LEFT(F4,1)="C",
IFERROR(-(NOW()-S4)/365+N4+G4/(IFERROR(INDEX(ExpCorrDam,VLOOKUP(R4,TblIsolStimuFact,2,FALSE)),1)*
(INDEX(NatDroogRiskMatrix,MATCH(T4,DroogNatWissel,1),MATCH(O4,CorrTempBounds,1))+
INDEX(ZoutRiskMatrix,MATCH(U4,ZoutRisico,0),MATCH(O4,CorrTempBounds,1)))),"Onbeperkt"),
IF(LEFT(F4,1)="R",IF(O4&lt;40,"Onbeperkt",IF(-(NOW()-S4)/365+N4&gt;=0,-(NOW()-S4)/365+N4,INDEX(CorrRVS,1,(MATCH(O4,TempRVS,1))))),"?"))</f>
        <v>5.1618806326103561</v>
      </c>
      <c r="X4" s="249">
        <f ca="1">IF(W4="SAO",5,
IF(W4="Onbeperkt",1,
IF(ISERROR(W4),"?",IFERROR(6-MATCH(W4,'NEN-EN 16991'!$C$3:$C$7,1),6))))</f>
        <v>3</v>
      </c>
      <c r="Y4" s="91" t="s">
        <v>44</v>
      </c>
      <c r="Z4" s="91" t="s">
        <v>43</v>
      </c>
      <c r="AA4" s="91" t="s">
        <v>44</v>
      </c>
      <c r="AB4" s="91" t="s">
        <v>42</v>
      </c>
      <c r="AC4" s="91"/>
      <c r="AD4" s="91"/>
      <c r="AE4" s="91" t="s">
        <v>42</v>
      </c>
      <c r="AF4" s="90">
        <f ca="1">IFERROR(INDEX(Risk_MOTBF,6-MIN(5,Installatie!X4),IFERROR(IF(SEARCH("E",CONCATENATE(Y4,Z4,AA4,AB4,AC4,AD4,AE4))&gt;0,5,0),IFERROR(IF(SEARCH("D",CONCATENATE(Y4,Z4,AA4,AB4,AC4,AD4,AE4))&gt;0,4,0),IFERROR(IF(SEARCH("C",CONCATENATE(Y4,Z4,AA4,AB4,AC4,AD4,AE4))&gt;0,3,0),IFERROR(IF(SEARCH("B",CONCATENATE(Y4,Z4,AA4,AB4,AC4,AD4,AE4))&gt;0,2,0),IFERROR(IF(SEARCH("A",CONCATENATE(Y4,Z4,AA4,AB4,AC4,AD4,AE4))&gt;0,1,0),"?")))))),"?")</f>
        <v>36.666666666666664</v>
      </c>
      <c r="AG4" s="84" t="str">
        <f ca="1">CHOOSE(IF(AF4&gt;'NEN-EN 16991'!$AF$2,5,IF(AF4&gt;'NEN-EN 16991'!$AE$2,4,IF(AF4&gt;'NEN-EN 16991'!$AD$2,3,IF(AF4&gt;'NEN-EN 16991'!$AC$2,2,1)))),"Very low","Low","Medium","High","Very high")</f>
        <v>Medium</v>
      </c>
      <c r="AH4" s="85" t="s">
        <v>346</v>
      </c>
      <c r="AI4" s="86" t="s">
        <v>15</v>
      </c>
      <c r="AJ4" s="87" t="str">
        <f t="shared" ref="AJ4:AJ11" si="1">IFERROR(CHOOSE(1+(1-IFERROR(MATCH("*"&amp;"droog"&amp;"*",AI4,0),0))*MAX(IFERROR(LEFT(AH4,1),"?")-2,0),"Geen","Gering","Matig","Zwaar","Zwaar","Zwaar"),"?")</f>
        <v>Gering</v>
      </c>
      <c r="AK4" s="90">
        <f ca="1">IFERROR(IF(AJ4="Geen",0,1)*AF4,IF(AJ4="Geen",0,"?"))</f>
        <v>36.666666666666664</v>
      </c>
      <c r="AL4" s="272" t="str">
        <f ca="1">CHOOSE(IF(AK4&gt;'NEN-EN 16991'!$AF$2,5,IF(AK4&gt;'NEN-EN 16991'!$AE$2,4,IF(AK4&gt;'NEN-EN 16991'!$AD$2,3,IF(AK4&gt;'NEN-EN 16991'!$AC$2,2,1)))),"Very low","Low","Medium","High","Very high")</f>
        <v>Medium</v>
      </c>
      <c r="AM4" s="10" t="s">
        <v>348</v>
      </c>
      <c r="AN4" s="65">
        <f t="shared" ref="AN4:AN11" si="2">IFERROR(INDEX(NDTEff,FIND(INDEX(NDTEffRatings,MATCH(V4,Typicals,0),MATCH(AM4,NDT_Techn,0)),"ABCDE"),2),"?")</f>
        <v>0.99</v>
      </c>
      <c r="AO4" s="64">
        <f t="shared" ref="AO4:AO11" ca="1" si="3">IFERROR((1-AN4)*AK4,"?")</f>
        <v>0.36666666666666697</v>
      </c>
      <c r="AP4" s="267" t="str">
        <f ca="1">IF(tblInstallatie[[#This Row],[Aanwezig rest-risico]]="?",tblInstallatie[[#This Row],[Risico; Isolatie conditie;
kwalitatief]],CHOOSE(IF(tblInstallatie[[#This Row],[Aanwezig rest-risico]]&gt;'NEN-EN 16991'!$AF$2,5,IF(tblInstallatie[[#This Row],[Aanwezig rest-risico]]&gt;'NEN-EN 16991'!$AE$2,4,IF(tblInstallatie[[#This Row],[Aanwezig rest-risico]]&gt;'NEN-EN 16991'!$AD$2,3,IF(tblInstallatie[[#This Row],[Aanwezig rest-risico]]&gt;'NEN-EN 16991'!$AC$2,2,1)))),"Very low","Low","Medium","High","Very high"))</f>
        <v>Low</v>
      </c>
    </row>
    <row r="5" spans="2:42" x14ac:dyDescent="0.3">
      <c r="B5" s="81" t="s">
        <v>155</v>
      </c>
      <c r="C5" s="81"/>
      <c r="D5" s="81">
        <v>200</v>
      </c>
      <c r="E5" s="81" t="s">
        <v>165</v>
      </c>
      <c r="F5" s="81" t="s">
        <v>104</v>
      </c>
      <c r="G5" s="82">
        <v>2</v>
      </c>
      <c r="H5" s="80"/>
      <c r="I5" s="112" t="s">
        <v>257</v>
      </c>
      <c r="J5" s="113" t="s">
        <v>251</v>
      </c>
      <c r="K5" s="10" t="s">
        <v>252</v>
      </c>
      <c r="L5" s="10" t="s">
        <v>252</v>
      </c>
      <c r="M5" s="10" t="s">
        <v>253</v>
      </c>
      <c r="N5" s="114">
        <f>IFERROR(IF(RIGHT(tblInstallatie[[#This Row],[Materiaal:]],3)="TSA",TSA_LTE,1)*IF(OR(IFERROR(FIND("gecoat",tblInstallatie[[#This Row],[Materiaal:]])&gt;0,0),IFERROR(FIND("TSA",tblInstallatie[[#This Row],[Materiaal:]])&gt;0,0)),
(CoatRefLT*(1-(CHOOSE(FIND(RIGHT(LEFT(I5,9),1),"iob"),0.5,0.3,0.05)+
CHOOSE(FIND(RIGHT(LEFT(K5,2),1),"85o"),0.9,0.75,0.05)+
CHOOSE(FIND(LEFT(L5,1),"PGOC"),0.9,0.5,0.25,0.1)+
CHOOSE(FIND(LEFT(M5,1),"UVOC"),0.9,
IF(LEFT(J5,1)="O",0.9,0.5),
0.25,0.1))/4)),
0),0)</f>
        <v>0</v>
      </c>
      <c r="O5" s="96">
        <v>50</v>
      </c>
      <c r="P5" s="81" t="s">
        <v>10</v>
      </c>
      <c r="Q5" s="81" t="s">
        <v>13</v>
      </c>
      <c r="R5" s="10" t="s">
        <v>322</v>
      </c>
      <c r="S5" s="83">
        <v>42371</v>
      </c>
      <c r="T5" s="194"/>
      <c r="U5" s="194"/>
      <c r="V5" s="81"/>
      <c r="W5" s="248" t="str">
        <f t="shared" ca="1" si="0"/>
        <v>Onbeperkt</v>
      </c>
      <c r="X5" s="249">
        <f ca="1">IF(W5="SAO",5,
IF(W5="Onbeperkt",1,
IF(ISERROR(W5),"?",IFERROR(6-MATCH(W5,'NEN-EN 16991'!$C$3:$C$7,1),6))))</f>
        <v>1</v>
      </c>
      <c r="Y5" s="91"/>
      <c r="Z5" s="91" t="s">
        <v>43</v>
      </c>
      <c r="AA5" s="91" t="s">
        <v>44</v>
      </c>
      <c r="AB5" s="91" t="s">
        <v>42</v>
      </c>
      <c r="AC5" s="91"/>
      <c r="AD5" s="91"/>
      <c r="AE5" s="91" t="s">
        <v>42</v>
      </c>
      <c r="AF5" s="90">
        <f ca="1">IFERROR(INDEX(Risk_MOTBF,6-MIN(5,Installatie!X5),IFERROR(IF(SEARCH("E",CONCATENATE(Y5,Z5,AA5,AB5,AC5,AD5,AE5))&gt;0,5,0),IFERROR(IF(SEARCH("D",CONCATENATE(Y5,Z5,AA5,AB5,AC5,AD5,AE5))&gt;0,4,0),IFERROR(IF(SEARCH("C",CONCATENATE(Y5,Z5,AA5,AB5,AC5,AD5,AE5))&gt;0,3,0),IFERROR(IF(SEARCH("B",CONCATENATE(Y5,Z5,AA5,AB5,AC5,AD5,AE5))&gt;0,2,0),IFERROR(IF(SEARCH("A",CONCATENATE(Y5,Z5,AA5,AB5,AC5,AD5,AE5))&gt;0,1,0),"?")))))),"?")</f>
        <v>0.97777777777777775</v>
      </c>
      <c r="AG5" s="84" t="str">
        <f ca="1">CHOOSE(IF(AF5&gt;'NEN-EN 16991'!$AF$2,5,IF(AF5&gt;'NEN-EN 16991'!$AE$2,4,IF(AF5&gt;'NEN-EN 16991'!$AD$2,3,IF(AF5&gt;'NEN-EN 16991'!$AC$2,2,1)))),"Very low","Low","Medium","High","Very high")</f>
        <v>Low</v>
      </c>
      <c r="AH5" s="85" t="s">
        <v>346</v>
      </c>
      <c r="AI5" s="86" t="s">
        <v>15</v>
      </c>
      <c r="AJ5" s="87" t="str">
        <f t="shared" si="1"/>
        <v>Gering</v>
      </c>
      <c r="AK5" s="90">
        <f ca="1">IFERROR(IF(AJ5="Geen",0,1)*AF5,IF(AJ5="Geen",0,"?"))</f>
        <v>0.97777777777777775</v>
      </c>
      <c r="AL5" s="272" t="str">
        <f ca="1">CHOOSE(IF(AK5&gt;'NEN-EN 16991'!$AF$2,5,IF(AK5&gt;'NEN-EN 16991'!$AE$2,4,IF(AK5&gt;'NEN-EN 16991'!$AD$2,3,IF(AK5&gt;'NEN-EN 16991'!$AC$2,2,1)))),"Very low","Low","Medium","High","Very high")</f>
        <v>Low</v>
      </c>
      <c r="AM5" s="10"/>
      <c r="AN5" s="65" t="str">
        <f t="shared" si="2"/>
        <v>?</v>
      </c>
      <c r="AO5" s="64" t="str">
        <f t="shared" ca="1" si="3"/>
        <v>?</v>
      </c>
      <c r="AP5" s="267" t="str">
        <f ca="1">IF(tblInstallatie[[#This Row],[Aanwezig rest-risico]]="?",tblInstallatie[[#This Row],[Risico; Isolatie conditie;
kwalitatief]],CHOOSE(IF(tblInstallatie[[#This Row],[Aanwezig rest-risico]]&gt;'NEN-EN 16991'!$AF$2,5,IF(tblInstallatie[[#This Row],[Aanwezig rest-risico]]&gt;'NEN-EN 16991'!$AE$2,4,IF(tblInstallatie[[#This Row],[Aanwezig rest-risico]]&gt;'NEN-EN 16991'!$AD$2,3,IF(tblInstallatie[[#This Row],[Aanwezig rest-risico]]&gt;'NEN-EN 16991'!$AC$2,2,1)))),"Very low","Low","Medium","High","Very high"))</f>
        <v>Low</v>
      </c>
    </row>
    <row r="6" spans="2:42" x14ac:dyDescent="0.3">
      <c r="B6" s="81" t="s">
        <v>156</v>
      </c>
      <c r="C6" s="81"/>
      <c r="D6" s="81">
        <v>200</v>
      </c>
      <c r="E6" s="81" t="s">
        <v>164</v>
      </c>
      <c r="F6" s="81" t="s">
        <v>358</v>
      </c>
      <c r="G6" s="82">
        <v>1</v>
      </c>
      <c r="H6" s="80" t="s">
        <v>392</v>
      </c>
      <c r="I6" s="112"/>
      <c r="J6" s="113"/>
      <c r="K6" s="10"/>
      <c r="L6" s="10" t="s">
        <v>258</v>
      </c>
      <c r="M6" s="10"/>
      <c r="N6" s="114">
        <f>IFERROR(IF(RIGHT(tblInstallatie[[#This Row],[Materiaal:]],3)="TSA",TSA_LTE,1)*IF(OR(IFERROR(FIND("gecoat",tblInstallatie[[#This Row],[Materiaal:]])&gt;0,0),IFERROR(FIND("TSA",tblInstallatie[[#This Row],[Materiaal:]])&gt;0,0)),
(CoatRefLT*(1-(CHOOSE(FIND(RIGHT(LEFT(I6,9),1),"iob"),0.5,0.3,0.05)+
CHOOSE(FIND(RIGHT(LEFT(K6,2),1),"85o"),0.9,0.75,0.05)+
CHOOSE(FIND(LEFT(L6,1),"PGOC"),0.9,0.5,0.25,0.1)+
CHOOSE(FIND(LEFT(M6,1),"UVOC"),0.9,
IF(LEFT(J6,1)="O",0.9,0.5),
0.25,0.1))/4)),
0),0)</f>
        <v>7.0000000000000036</v>
      </c>
      <c r="O6" s="96">
        <v>50</v>
      </c>
      <c r="P6" s="81" t="s">
        <v>11</v>
      </c>
      <c r="Q6" s="81" t="s">
        <v>13</v>
      </c>
      <c r="R6" s="10" t="s">
        <v>324</v>
      </c>
      <c r="S6" s="83">
        <v>42372</v>
      </c>
      <c r="T6" s="194"/>
      <c r="U6" s="194"/>
      <c r="V6" s="81"/>
      <c r="W6" s="248" t="str">
        <f t="shared" ca="1" si="0"/>
        <v>Onbeperkt</v>
      </c>
      <c r="X6" s="249">
        <f ca="1">IF(W6="SAO",5,
IF(W6="Onbeperkt",1,
IF(ISERROR(W6),"?",IFERROR(6-MATCH(W6,'NEN-EN 16991'!$C$3:$C$7,1),6))))</f>
        <v>1</v>
      </c>
      <c r="Y6" s="91"/>
      <c r="Z6" s="91" t="s">
        <v>45</v>
      </c>
      <c r="AA6" s="91" t="s">
        <v>44</v>
      </c>
      <c r="AB6" s="91" t="s">
        <v>42</v>
      </c>
      <c r="AC6" s="91"/>
      <c r="AD6" s="91"/>
      <c r="AE6" s="91" t="s">
        <v>42</v>
      </c>
      <c r="AF6" s="90">
        <f ca="1">IFERROR(INDEX(Risk_MOTBF,6-MIN(5,Installatie!X6),IFERROR(IF(SEARCH("E",CONCATENATE(Y6,Z6,AA6,AB6,AC6,AD6,AE6))&gt;0,5,0),IFERROR(IF(SEARCH("D",CONCATENATE(Y6,Z6,AA6,AB6,AC6,AD6,AE6))&gt;0,4,0),IFERROR(IF(SEARCH("C",CONCATENATE(Y6,Z6,AA6,AB6,AC6,AD6,AE6))&gt;0,3,0),IFERROR(IF(SEARCH("B",CONCATENATE(Y6,Z6,AA6,AB6,AC6,AD6,AE6))&gt;0,2,0),IFERROR(IF(SEARCH("A",CONCATENATE(Y6,Z6,AA6,AB6,AC6,AD6,AE6))&gt;0,1,0),"?")))))),"?")</f>
        <v>9.7777777777777786</v>
      </c>
      <c r="AG6" s="84" t="str">
        <f ca="1">CHOOSE(IF(AF6&gt;'NEN-EN 16991'!$AF$2,5,IF(AF6&gt;'NEN-EN 16991'!$AE$2,4,IF(AF6&gt;'NEN-EN 16991'!$AD$2,3,IF(AF6&gt;'NEN-EN 16991'!$AC$2,2,1)))),"Very low","Low","Medium","High","Very high")</f>
        <v>Medium</v>
      </c>
      <c r="AH6" s="85" t="s">
        <v>347</v>
      </c>
      <c r="AI6" s="86" t="s">
        <v>15</v>
      </c>
      <c r="AJ6" s="87" t="str">
        <f t="shared" si="1"/>
        <v>Matig</v>
      </c>
      <c r="AK6" s="90">
        <f t="shared" ref="AK6:AK11" ca="1" si="4">IFERROR(IF(AJ6="Geen",0,1)*AF6,IF(AJ6="Geen",0,"?"))</f>
        <v>9.7777777777777786</v>
      </c>
      <c r="AL6" s="272" t="str">
        <f ca="1">CHOOSE(IF(AK6&gt;'NEN-EN 16991'!$AF$2,5,IF(AK6&gt;'NEN-EN 16991'!$AE$2,4,IF(AK6&gt;'NEN-EN 16991'!$AD$2,3,IF(AK6&gt;'NEN-EN 16991'!$AC$2,2,1)))),"Very low","Low","Medium","High","Very high")</f>
        <v>Medium</v>
      </c>
      <c r="AM6" s="10"/>
      <c r="AN6" s="65" t="str">
        <f t="shared" si="2"/>
        <v>?</v>
      </c>
      <c r="AO6" s="64" t="str">
        <f t="shared" ca="1" si="3"/>
        <v>?</v>
      </c>
      <c r="AP6" s="267" t="str">
        <f ca="1">IF(tblInstallatie[[#This Row],[Aanwezig rest-risico]]="?",tblInstallatie[[#This Row],[Risico; Isolatie conditie;
kwalitatief]],CHOOSE(IF(tblInstallatie[[#This Row],[Aanwezig rest-risico]]&gt;'NEN-EN 16991'!$AF$2,5,IF(tblInstallatie[[#This Row],[Aanwezig rest-risico]]&gt;'NEN-EN 16991'!$AE$2,4,IF(tblInstallatie[[#This Row],[Aanwezig rest-risico]]&gt;'NEN-EN 16991'!$AD$2,3,IF(tblInstallatie[[#This Row],[Aanwezig rest-risico]]&gt;'NEN-EN 16991'!$AC$2,2,1)))),"Very low","Low","Medium","High","Very high"))</f>
        <v>Medium</v>
      </c>
    </row>
    <row r="7" spans="2:42" x14ac:dyDescent="0.3">
      <c r="B7" s="81" t="s">
        <v>157</v>
      </c>
      <c r="C7" s="81"/>
      <c r="D7" s="81">
        <v>200</v>
      </c>
      <c r="E7" s="81" t="s">
        <v>164</v>
      </c>
      <c r="F7" s="81" t="s">
        <v>358</v>
      </c>
      <c r="G7" s="82">
        <v>1</v>
      </c>
      <c r="H7" s="80"/>
      <c r="I7" s="112"/>
      <c r="J7" s="113" t="s">
        <v>251</v>
      </c>
      <c r="K7" s="10"/>
      <c r="L7" s="10"/>
      <c r="M7" s="10" t="s">
        <v>259</v>
      </c>
      <c r="N7" s="114">
        <f>IFERROR(IF(RIGHT(tblInstallatie[[#This Row],[Materiaal:]],3)="TSA",TSA_LTE,1)*IF(OR(IFERROR(FIND("gecoat",tblInstallatie[[#This Row],[Materiaal:]])&gt;0,0),IFERROR(FIND("TSA",tblInstallatie[[#This Row],[Materiaal:]])&gt;0,0)),
(CoatRefLT*(1-(CHOOSE(FIND(RIGHT(LEFT(I7,9),1),"iob"),0.5,0.3,0.05)+
CHOOSE(FIND(RIGHT(LEFT(K7,2),1),"85o"),0.9,0.75,0.05)+
CHOOSE(FIND(LEFT(L7,1),"PGOC"),0.9,0.5,0.25,0.1)+
CHOOSE(FIND(LEFT(M7,1),"UVOC"),0.9,
IF(LEFT(J7,1)="O",0.9,0.5),
0.25,0.1))/4)),
0),0)</f>
        <v>12.687500000000002</v>
      </c>
      <c r="O7" s="96">
        <v>50</v>
      </c>
      <c r="P7" s="81" t="s">
        <v>11</v>
      </c>
      <c r="Q7" s="81" t="s">
        <v>13</v>
      </c>
      <c r="R7" s="10" t="s">
        <v>323</v>
      </c>
      <c r="S7" s="83">
        <v>42373</v>
      </c>
      <c r="T7" s="194"/>
      <c r="U7" s="194"/>
      <c r="V7" s="81"/>
      <c r="W7" s="248" t="str">
        <f t="shared" ca="1" si="0"/>
        <v>Onbeperkt</v>
      </c>
      <c r="X7" s="249">
        <f ca="1">IF(W7="SAO",5,
IF(W7="Onbeperkt",1,
IF(ISERROR(W7),"?",IFERROR(6-MATCH(W7,'NEN-EN 16991'!$C$3:$C$7,1),6))))</f>
        <v>1</v>
      </c>
      <c r="Y7" s="91"/>
      <c r="Z7" s="91" t="s">
        <v>43</v>
      </c>
      <c r="AA7" s="91" t="s">
        <v>44</v>
      </c>
      <c r="AB7" s="91" t="s">
        <v>42</v>
      </c>
      <c r="AC7" s="91"/>
      <c r="AD7" s="91"/>
      <c r="AE7" s="91" t="s">
        <v>42</v>
      </c>
      <c r="AF7" s="90">
        <f ca="1">IFERROR(INDEX(Risk_MOTBF,6-MIN(5,Installatie!X7),IFERROR(IF(SEARCH("E",CONCATENATE(Y7,Z7,AA7,AB7,AC7,AD7,AE7))&gt;0,5,0),IFERROR(IF(SEARCH("D",CONCATENATE(Y7,Z7,AA7,AB7,AC7,AD7,AE7))&gt;0,4,0),IFERROR(IF(SEARCH("C",CONCATENATE(Y7,Z7,AA7,AB7,AC7,AD7,AE7))&gt;0,3,0),IFERROR(IF(SEARCH("B",CONCATENATE(Y7,Z7,AA7,AB7,AC7,AD7,AE7))&gt;0,2,0),IFERROR(IF(SEARCH("A",CONCATENATE(Y7,Z7,AA7,AB7,AC7,AD7,AE7))&gt;0,1,0),"?")))))),"?")</f>
        <v>0.97777777777777775</v>
      </c>
      <c r="AG7" s="84" t="str">
        <f ca="1">CHOOSE(IF(AF7&gt;'NEN-EN 16991'!$AF$2,5,IF(AF7&gt;'NEN-EN 16991'!$AE$2,4,IF(AF7&gt;'NEN-EN 16991'!$AD$2,3,IF(AF7&gt;'NEN-EN 16991'!$AC$2,2,1)))),"Very low","Low","Medium","High","Very high")</f>
        <v>Low</v>
      </c>
      <c r="AH7" s="85" t="s">
        <v>346</v>
      </c>
      <c r="AI7" s="86" t="s">
        <v>15</v>
      </c>
      <c r="AJ7" s="87" t="str">
        <f t="shared" si="1"/>
        <v>Gering</v>
      </c>
      <c r="AK7" s="90">
        <f t="shared" ca="1" si="4"/>
        <v>0.97777777777777775</v>
      </c>
      <c r="AL7" s="272" t="str">
        <f ca="1">CHOOSE(IF(AK7&gt;'NEN-EN 16991'!$AF$2,5,IF(AK7&gt;'NEN-EN 16991'!$AE$2,4,IF(AK7&gt;'NEN-EN 16991'!$AD$2,3,IF(AK7&gt;'NEN-EN 16991'!$AC$2,2,1)))),"Very low","Low","Medium","High","Very high")</f>
        <v>Low</v>
      </c>
      <c r="AM7" s="10"/>
      <c r="AN7" s="65" t="str">
        <f t="shared" si="2"/>
        <v>?</v>
      </c>
      <c r="AO7" s="64" t="str">
        <f t="shared" ca="1" si="3"/>
        <v>?</v>
      </c>
      <c r="AP7" s="267" t="str">
        <f ca="1">IF(tblInstallatie[[#This Row],[Aanwezig rest-risico]]="?",tblInstallatie[[#This Row],[Risico; Isolatie conditie;
kwalitatief]],CHOOSE(IF(tblInstallatie[[#This Row],[Aanwezig rest-risico]]&gt;'NEN-EN 16991'!$AF$2,5,IF(tblInstallatie[[#This Row],[Aanwezig rest-risico]]&gt;'NEN-EN 16991'!$AE$2,4,IF(tblInstallatie[[#This Row],[Aanwezig rest-risico]]&gt;'NEN-EN 16991'!$AD$2,3,IF(tblInstallatie[[#This Row],[Aanwezig rest-risico]]&gt;'NEN-EN 16991'!$AC$2,2,1)))),"Very low","Low","Medium","High","Very high"))</f>
        <v>Low</v>
      </c>
    </row>
    <row r="8" spans="2:42" x14ac:dyDescent="0.3">
      <c r="B8" s="81" t="s">
        <v>158</v>
      </c>
      <c r="C8" s="81"/>
      <c r="D8" s="81">
        <v>200</v>
      </c>
      <c r="E8" s="81" t="s">
        <v>164</v>
      </c>
      <c r="F8" s="81" t="s">
        <v>359</v>
      </c>
      <c r="G8" s="82">
        <v>1</v>
      </c>
      <c r="H8" s="80"/>
      <c r="I8" s="112"/>
      <c r="J8" s="113"/>
      <c r="K8" s="10"/>
      <c r="L8" s="10"/>
      <c r="M8" s="10" t="s">
        <v>255</v>
      </c>
      <c r="N8" s="114">
        <f>IFERROR(IF(RIGHT(tblInstallatie[[#This Row],[Materiaal:]],3)="TSA",TSA_LTE,1)*IF(OR(IFERROR(FIND("gecoat",tblInstallatie[[#This Row],[Materiaal:]])&gt;0,0),IFERROR(FIND("TSA",tblInstallatie[[#This Row],[Materiaal:]])&gt;0,0)),
(CoatRefLT*(1-(CHOOSE(FIND(RIGHT(LEFT(I8,9),1),"iob"),0.5,0.3,0.05)+
CHOOSE(FIND(RIGHT(LEFT(K8,2),1),"85o"),0.9,0.75,0.05)+
CHOOSE(FIND(LEFT(L8,1),"PGOC"),0.9,0.5,0.25,0.1)+
CHOOSE(FIND(LEFT(M8,1),"UVOC"),0.9,
IF(LEFT(J8,1)="O",0.9,0.5),
0.25,0.1))/4)),
0),0)</f>
        <v>6.0000000000000009</v>
      </c>
      <c r="O8" s="96">
        <v>50</v>
      </c>
      <c r="P8" s="81" t="s">
        <v>10</v>
      </c>
      <c r="Q8" s="81" t="s">
        <v>13</v>
      </c>
      <c r="R8" s="10" t="s">
        <v>326</v>
      </c>
      <c r="S8" s="83">
        <v>42374</v>
      </c>
      <c r="T8" s="194"/>
      <c r="U8" s="194"/>
      <c r="V8" s="81"/>
      <c r="W8" s="248" t="str">
        <f t="shared" ca="1" si="0"/>
        <v>Onbeperkt</v>
      </c>
      <c r="X8" s="249">
        <f ca="1">IF(W8="SAO",5,
IF(W8="Onbeperkt",1,
IF(ISERROR(W8),"?",IFERROR(6-MATCH(W8,'NEN-EN 16991'!$C$3:$C$7,1),6))))</f>
        <v>1</v>
      </c>
      <c r="Y8" s="91"/>
      <c r="Z8" s="91" t="s">
        <v>43</v>
      </c>
      <c r="AA8" s="91" t="s">
        <v>44</v>
      </c>
      <c r="AB8" s="91" t="s">
        <v>42</v>
      </c>
      <c r="AC8" s="91"/>
      <c r="AD8" s="91"/>
      <c r="AE8" s="91" t="s">
        <v>42</v>
      </c>
      <c r="AF8" s="90">
        <f ca="1">IFERROR(INDEX(Risk_MOTBF,6-MIN(5,Installatie!X8),IFERROR(IF(SEARCH("E",CONCATENATE(Y8,Z8,AA8,AB8,AC8,AD8,AE8))&gt;0,5,0),IFERROR(IF(SEARCH("D",CONCATENATE(Y8,Z8,AA8,AB8,AC8,AD8,AE8))&gt;0,4,0),IFERROR(IF(SEARCH("C",CONCATENATE(Y8,Z8,AA8,AB8,AC8,AD8,AE8))&gt;0,3,0),IFERROR(IF(SEARCH("B",CONCATENATE(Y8,Z8,AA8,AB8,AC8,AD8,AE8))&gt;0,2,0),IFERROR(IF(SEARCH("A",CONCATENATE(Y8,Z8,AA8,AB8,AC8,AD8,AE8))&gt;0,1,0),"?")))))),"?")</f>
        <v>0.97777777777777775</v>
      </c>
      <c r="AG8" s="84" t="str">
        <f ca="1">CHOOSE(IF(AF8&gt;'NEN-EN 16991'!$AF$2,5,IF(AF8&gt;'NEN-EN 16991'!$AE$2,4,IF(AF8&gt;'NEN-EN 16991'!$AD$2,3,IF(AF8&gt;'NEN-EN 16991'!$AC$2,2,1)))),"Very low","Low","Medium","High","Very high")</f>
        <v>Low</v>
      </c>
      <c r="AH8" s="85" t="s">
        <v>346</v>
      </c>
      <c r="AI8" s="86" t="s">
        <v>15</v>
      </c>
      <c r="AJ8" s="87" t="str">
        <f t="shared" si="1"/>
        <v>Gering</v>
      </c>
      <c r="AK8" s="90">
        <f t="shared" ca="1" si="4"/>
        <v>0.97777777777777775</v>
      </c>
      <c r="AL8" s="272" t="str">
        <f ca="1">CHOOSE(IF(AK8&gt;'NEN-EN 16991'!$AF$2,5,IF(AK8&gt;'NEN-EN 16991'!$AE$2,4,IF(AK8&gt;'NEN-EN 16991'!$AD$2,3,IF(AK8&gt;'NEN-EN 16991'!$AC$2,2,1)))),"Very low","Low","Medium","High","Very high")</f>
        <v>Low</v>
      </c>
      <c r="AM8" s="10"/>
      <c r="AN8" s="65" t="str">
        <f t="shared" si="2"/>
        <v>?</v>
      </c>
      <c r="AO8" s="64" t="str">
        <f t="shared" ca="1" si="3"/>
        <v>?</v>
      </c>
      <c r="AP8" s="267" t="str">
        <f ca="1">IF(tblInstallatie[[#This Row],[Aanwezig rest-risico]]="?",tblInstallatie[[#This Row],[Risico; Isolatie conditie;
kwalitatief]],CHOOSE(IF(tblInstallatie[[#This Row],[Aanwezig rest-risico]]&gt;'NEN-EN 16991'!$AF$2,5,IF(tblInstallatie[[#This Row],[Aanwezig rest-risico]]&gt;'NEN-EN 16991'!$AE$2,4,IF(tblInstallatie[[#This Row],[Aanwezig rest-risico]]&gt;'NEN-EN 16991'!$AD$2,3,IF(tblInstallatie[[#This Row],[Aanwezig rest-risico]]&gt;'NEN-EN 16991'!$AC$2,2,1)))),"Very low","Low","Medium","High","Very high"))</f>
        <v>Low</v>
      </c>
    </row>
    <row r="9" spans="2:42" x14ac:dyDescent="0.3">
      <c r="B9" s="81" t="s">
        <v>159</v>
      </c>
      <c r="C9" s="81"/>
      <c r="D9" s="81">
        <v>200</v>
      </c>
      <c r="E9" s="81" t="s">
        <v>162</v>
      </c>
      <c r="F9" s="81" t="s">
        <v>104</v>
      </c>
      <c r="G9" s="82">
        <v>2</v>
      </c>
      <c r="H9" s="80"/>
      <c r="I9" s="112"/>
      <c r="J9" s="113"/>
      <c r="K9" s="10"/>
      <c r="L9" s="10"/>
      <c r="M9" s="10"/>
      <c r="N9" s="114">
        <f>IFERROR(IF(RIGHT(tblInstallatie[[#This Row],[Materiaal:]],3)="TSA",TSA_LTE,1)*IF(OR(IFERROR(FIND("gecoat",tblInstallatie[[#This Row],[Materiaal:]])&gt;0,0),IFERROR(FIND("TSA",tblInstallatie[[#This Row],[Materiaal:]])&gt;0,0)),
(CoatRefLT*(1-(CHOOSE(FIND(RIGHT(LEFT(I9,9),1),"iob"),0.5,0.3,0.05)+
CHOOSE(FIND(RIGHT(LEFT(K9,2),1),"85o"),0.9,0.75,0.05)+
CHOOSE(FIND(LEFT(L9,1),"PGOC"),0.9,0.5,0.25,0.1)+
CHOOSE(FIND(LEFT(M9,1),"UVOC"),0.9,
IF(LEFT(J9,1)="O",0.9,0.5),
0.25,0.1))/4)),
0),0)</f>
        <v>0</v>
      </c>
      <c r="O9" s="96">
        <v>50</v>
      </c>
      <c r="P9" s="81" t="s">
        <v>10</v>
      </c>
      <c r="Q9" s="81" t="s">
        <v>13</v>
      </c>
      <c r="R9" s="10" t="s">
        <v>326</v>
      </c>
      <c r="S9" s="83">
        <v>42375</v>
      </c>
      <c r="T9" s="194"/>
      <c r="U9" s="194"/>
      <c r="V9" s="81"/>
      <c r="W9" s="248" t="str">
        <f t="shared" ca="1" si="0"/>
        <v>Onbeperkt</v>
      </c>
      <c r="X9" s="249">
        <f ca="1">IF(W9="SAO",5,
IF(W9="Onbeperkt",1,
IF(ISERROR(W9),"?",IFERROR(6-MATCH(W9,'NEN-EN 16991'!$C$3:$C$7,1),6))))</f>
        <v>1</v>
      </c>
      <c r="Y9" s="91"/>
      <c r="Z9" s="91" t="s">
        <v>43</v>
      </c>
      <c r="AA9" s="91" t="s">
        <v>44</v>
      </c>
      <c r="AB9" s="91" t="s">
        <v>42</v>
      </c>
      <c r="AC9" s="91"/>
      <c r="AD9" s="91"/>
      <c r="AE9" s="91" t="s">
        <v>42</v>
      </c>
      <c r="AF9" s="90">
        <f ca="1">IFERROR(INDEX(Risk_MOTBF,6-MIN(5,Installatie!X9),IFERROR(IF(SEARCH("E",CONCATENATE(Y9,Z9,AA9,AB9,AC9,AD9,AE9))&gt;0,5,0),IFERROR(IF(SEARCH("D",CONCATENATE(Y9,Z9,AA9,AB9,AC9,AD9,AE9))&gt;0,4,0),IFERROR(IF(SEARCH("C",CONCATENATE(Y9,Z9,AA9,AB9,AC9,AD9,AE9))&gt;0,3,0),IFERROR(IF(SEARCH("B",CONCATENATE(Y9,Z9,AA9,AB9,AC9,AD9,AE9))&gt;0,2,0),IFERROR(IF(SEARCH("A",CONCATENATE(Y9,Z9,AA9,AB9,AC9,AD9,AE9))&gt;0,1,0),"?")))))),"?")</f>
        <v>0.97777777777777775</v>
      </c>
      <c r="AG9" s="84" t="str">
        <f ca="1">CHOOSE(IF(AF9&gt;'NEN-EN 16991'!$AF$2,5,IF(AF9&gt;'NEN-EN 16991'!$AE$2,4,IF(AF9&gt;'NEN-EN 16991'!$AD$2,3,IF(AF9&gt;'NEN-EN 16991'!$AC$2,2,1)))),"Very low","Low","Medium","High","Very high")</f>
        <v>Low</v>
      </c>
      <c r="AH9" s="85" t="s">
        <v>346</v>
      </c>
      <c r="AI9" s="86" t="s">
        <v>15</v>
      </c>
      <c r="AJ9" s="87" t="str">
        <f t="shared" si="1"/>
        <v>Gering</v>
      </c>
      <c r="AK9" s="90">
        <f t="shared" ca="1" si="4"/>
        <v>0.97777777777777775</v>
      </c>
      <c r="AL9" s="272" t="str">
        <f ca="1">CHOOSE(IF(AK9&gt;'NEN-EN 16991'!$AF$2,5,IF(AK9&gt;'NEN-EN 16991'!$AE$2,4,IF(AK9&gt;'NEN-EN 16991'!$AD$2,3,IF(AK9&gt;'NEN-EN 16991'!$AC$2,2,1)))),"Very low","Low","Medium","High","Very high")</f>
        <v>Low</v>
      </c>
      <c r="AM9" s="10"/>
      <c r="AN9" s="65" t="str">
        <f t="shared" si="2"/>
        <v>?</v>
      </c>
      <c r="AO9" s="64" t="str">
        <f t="shared" ca="1" si="3"/>
        <v>?</v>
      </c>
      <c r="AP9" s="267" t="str">
        <f ca="1">IF(tblInstallatie[[#This Row],[Aanwezig rest-risico]]="?",tblInstallatie[[#This Row],[Risico; Isolatie conditie;
kwalitatief]],CHOOSE(IF(tblInstallatie[[#This Row],[Aanwezig rest-risico]]&gt;'NEN-EN 16991'!$AF$2,5,IF(tblInstallatie[[#This Row],[Aanwezig rest-risico]]&gt;'NEN-EN 16991'!$AE$2,4,IF(tblInstallatie[[#This Row],[Aanwezig rest-risico]]&gt;'NEN-EN 16991'!$AD$2,3,IF(tblInstallatie[[#This Row],[Aanwezig rest-risico]]&gt;'NEN-EN 16991'!$AC$2,2,1)))),"Very low","Low","Medium","High","Very high"))</f>
        <v>Low</v>
      </c>
    </row>
    <row r="10" spans="2:42" x14ac:dyDescent="0.3">
      <c r="B10" s="81" t="s">
        <v>160</v>
      </c>
      <c r="C10" s="81"/>
      <c r="D10" s="81">
        <v>200</v>
      </c>
      <c r="E10" s="81" t="s">
        <v>162</v>
      </c>
      <c r="F10" s="81" t="s">
        <v>104</v>
      </c>
      <c r="G10" s="82">
        <v>2</v>
      </c>
      <c r="H10" s="80"/>
      <c r="I10" s="112"/>
      <c r="J10" s="113"/>
      <c r="K10" s="10"/>
      <c r="L10" s="10"/>
      <c r="M10" s="10"/>
      <c r="N10" s="114">
        <f>IFERROR(IF(RIGHT(tblInstallatie[[#This Row],[Materiaal:]],3)="TSA",TSA_LTE,1)*IF(OR(IFERROR(FIND("gecoat",tblInstallatie[[#This Row],[Materiaal:]])&gt;0,0),IFERROR(FIND("TSA",tblInstallatie[[#This Row],[Materiaal:]])&gt;0,0)),
(CoatRefLT*(1-(CHOOSE(FIND(RIGHT(LEFT(I10,9),1),"iob"),0.5,0.3,0.05)+
CHOOSE(FIND(RIGHT(LEFT(K10,2),1),"85o"),0.9,0.75,0.05)+
CHOOSE(FIND(LEFT(L10,1),"PGOC"),0.9,0.5,0.25,0.1)+
CHOOSE(FIND(LEFT(M10,1),"UVOC"),0.9,
IF(LEFT(J10,1)="O",0.9,0.5),
0.25,0.1))/4)),
0),0)</f>
        <v>0</v>
      </c>
      <c r="O10" s="96">
        <v>50</v>
      </c>
      <c r="P10" s="81" t="s">
        <v>11</v>
      </c>
      <c r="Q10" s="81" t="s">
        <v>13</v>
      </c>
      <c r="R10" s="10" t="s">
        <v>326</v>
      </c>
      <c r="S10" s="83">
        <v>42376</v>
      </c>
      <c r="T10" s="194"/>
      <c r="U10" s="194"/>
      <c r="V10" s="81"/>
      <c r="W10" s="248" t="str">
        <f t="shared" ca="1" si="0"/>
        <v>Onbeperkt</v>
      </c>
      <c r="X10" s="249">
        <f ca="1">IF(W10="SAO",5,
IF(W10="Onbeperkt",1,
IF(ISERROR(W10),"?",IFERROR(6-MATCH(W10,'NEN-EN 16991'!$C$3:$C$7,1),6))))</f>
        <v>1</v>
      </c>
      <c r="Y10" s="91"/>
      <c r="Z10" s="91" t="s">
        <v>44</v>
      </c>
      <c r="AA10" s="91" t="s">
        <v>45</v>
      </c>
      <c r="AB10" s="91" t="s">
        <v>42</v>
      </c>
      <c r="AC10" s="91"/>
      <c r="AD10" s="91"/>
      <c r="AE10" s="91" t="s">
        <v>42</v>
      </c>
      <c r="AF10" s="90">
        <f ca="1">IFERROR(INDEX(Risk_MOTBF,6-MIN(5,Installatie!X10),IFERROR(IF(SEARCH("E",CONCATENATE(Y10,Z10,AA10,AB10,AC10,AD10,AE10))&gt;0,5,0),IFERROR(IF(SEARCH("D",CONCATENATE(Y10,Z10,AA10,AB10,AC10,AD10,AE10))&gt;0,4,0),IFERROR(IF(SEARCH("C",CONCATENATE(Y10,Z10,AA10,AB10,AC10,AD10,AE10))&gt;0,3,0),IFERROR(IF(SEARCH("B",CONCATENATE(Y10,Z10,AA10,AB10,AC10,AD10,AE10))&gt;0,2,0),IFERROR(IF(SEARCH("A",CONCATENATE(Y10,Z10,AA10,AB10,AC10,AD10,AE10))&gt;0,1,0),"?")))))),"?")</f>
        <v>9.7777777777777786</v>
      </c>
      <c r="AG10" s="84" t="str">
        <f ca="1">CHOOSE(IF(AF10&gt;'NEN-EN 16991'!$AF$2,5,IF(AF10&gt;'NEN-EN 16991'!$AE$2,4,IF(AF10&gt;'NEN-EN 16991'!$AD$2,3,IF(AF10&gt;'NEN-EN 16991'!$AC$2,2,1)))),"Very low","Low","Medium","High","Very high")</f>
        <v>Medium</v>
      </c>
      <c r="AH10" s="85" t="s">
        <v>346</v>
      </c>
      <c r="AI10" s="86" t="s">
        <v>15</v>
      </c>
      <c r="AJ10" s="87" t="str">
        <f t="shared" si="1"/>
        <v>Gering</v>
      </c>
      <c r="AK10" s="90">
        <f t="shared" ca="1" si="4"/>
        <v>9.7777777777777786</v>
      </c>
      <c r="AL10" s="272" t="str">
        <f ca="1">CHOOSE(IF(AK10&gt;'NEN-EN 16991'!$AF$2,5,IF(AK10&gt;'NEN-EN 16991'!$AE$2,4,IF(AK10&gt;'NEN-EN 16991'!$AD$2,3,IF(AK10&gt;'NEN-EN 16991'!$AC$2,2,1)))),"Very low","Low","Medium","High","Very high")</f>
        <v>Medium</v>
      </c>
      <c r="AM10" s="10"/>
      <c r="AN10" s="65" t="str">
        <f t="shared" si="2"/>
        <v>?</v>
      </c>
      <c r="AO10" s="64" t="str">
        <f t="shared" ca="1" si="3"/>
        <v>?</v>
      </c>
      <c r="AP10" s="267" t="str">
        <f ca="1">IF(tblInstallatie[[#This Row],[Aanwezig rest-risico]]="?",tblInstallatie[[#This Row],[Risico; Isolatie conditie;
kwalitatief]],CHOOSE(IF(tblInstallatie[[#This Row],[Aanwezig rest-risico]]&gt;'NEN-EN 16991'!$AF$2,5,IF(tblInstallatie[[#This Row],[Aanwezig rest-risico]]&gt;'NEN-EN 16991'!$AE$2,4,IF(tblInstallatie[[#This Row],[Aanwezig rest-risico]]&gt;'NEN-EN 16991'!$AD$2,3,IF(tblInstallatie[[#This Row],[Aanwezig rest-risico]]&gt;'NEN-EN 16991'!$AC$2,2,1)))),"Very low","Low","Medium","High","Very high"))</f>
        <v>Medium</v>
      </c>
    </row>
    <row r="11" spans="2:42" x14ac:dyDescent="0.3">
      <c r="B11" s="81" t="s">
        <v>161</v>
      </c>
      <c r="C11" s="81"/>
      <c r="D11" s="81">
        <v>200</v>
      </c>
      <c r="E11" s="81" t="s">
        <v>163</v>
      </c>
      <c r="F11" s="81" t="s">
        <v>104</v>
      </c>
      <c r="G11" s="82">
        <v>1.3</v>
      </c>
      <c r="H11" s="80"/>
      <c r="I11" s="112"/>
      <c r="J11" s="113"/>
      <c r="K11" s="10"/>
      <c r="L11" s="10"/>
      <c r="M11" s="10"/>
      <c r="N11" s="114">
        <f>IFERROR(IF(RIGHT(tblInstallatie[[#This Row],[Materiaal:]],3)="TSA",TSA_LTE,1)*IF(OR(IFERROR(FIND("gecoat",tblInstallatie[[#This Row],[Materiaal:]])&gt;0,0),IFERROR(FIND("TSA",tblInstallatie[[#This Row],[Materiaal:]])&gt;0,0)),
(CoatRefLT*(1-(CHOOSE(FIND(RIGHT(LEFT(I11,9),1),"iob"),0.5,0.3,0.05)+
CHOOSE(FIND(RIGHT(LEFT(K11,2),1),"85o"),0.9,0.75,0.05)+
CHOOSE(FIND(LEFT(L11,1),"PGOC"),0.9,0.5,0.25,0.1)+
CHOOSE(FIND(LEFT(M11,1),"UVOC"),0.9,
IF(LEFT(J11,1)="O",0.9,0.5),
0.25,0.1))/4)),
0),0)</f>
        <v>0</v>
      </c>
      <c r="O11" s="96">
        <v>80</v>
      </c>
      <c r="P11" s="81" t="s">
        <v>10</v>
      </c>
      <c r="Q11" s="81" t="s">
        <v>13</v>
      </c>
      <c r="R11" s="10" t="s">
        <v>326</v>
      </c>
      <c r="S11" s="83">
        <v>36526</v>
      </c>
      <c r="T11" s="194">
        <v>100</v>
      </c>
      <c r="U11" s="194" t="s">
        <v>339</v>
      </c>
      <c r="V11" s="81" t="s">
        <v>372</v>
      </c>
      <c r="W11" s="248">
        <f t="shared" ca="1" si="0"/>
        <v>-19.513005212138502</v>
      </c>
      <c r="X11" s="249">
        <f ca="1">IF(W11="SAO",5,
IF(W11="Onbeperkt",1,
IF(ISERROR(W11),"?",IFERROR(6-MATCH(W11,'NEN-EN 16991'!$C$3:$C$7,1),6))))</f>
        <v>6</v>
      </c>
      <c r="Y11" s="91"/>
      <c r="Z11" s="91" t="s">
        <v>42</v>
      </c>
      <c r="AA11" s="91" t="s">
        <v>44</v>
      </c>
      <c r="AB11" s="91"/>
      <c r="AC11" s="91"/>
      <c r="AD11" s="91"/>
      <c r="AE11" s="91"/>
      <c r="AF11" s="90">
        <f ca="1">IFERROR(INDEX(Risk_MOTBF,6-MIN(5,Installatie!X11),IFERROR(IF(SEARCH("E",CONCATENATE(Y11,Z11,AA11,AB11,AC11,AD11,AE11))&gt;0,5,0),IFERROR(IF(SEARCH("D",CONCATENATE(Y11,Z11,AA11,AB11,AC11,AD11,AE11))&gt;0,4,0),IFERROR(IF(SEARCH("C",CONCATENATE(Y11,Z11,AA11,AB11,AC11,AD11,AE11))&gt;0,3,0),IFERROR(IF(SEARCH("B",CONCATENATE(Y11,Z11,AA11,AB11,AC11,AD11,AE11))&gt;0,2,0),IFERROR(IF(SEARCH("A",CONCATENATE(Y11,Z11,AA11,AB11,AC11,AD11,AE11))&gt;0,1,0),"?")))))),"?")</f>
        <v>1100</v>
      </c>
      <c r="AG11" s="84" t="str">
        <f ca="1">CHOOSE(IF(AF11&gt;'NEN-EN 16991'!$AF$2,5,IF(AF11&gt;'NEN-EN 16991'!$AE$2,4,IF(AF11&gt;'NEN-EN 16991'!$AD$2,3,IF(AF11&gt;'NEN-EN 16991'!$AC$2,2,1)))),"Very low","Low","Medium","High","Very high")</f>
        <v>High</v>
      </c>
      <c r="AH11" s="85" t="s">
        <v>346</v>
      </c>
      <c r="AI11" s="86" t="s">
        <v>15</v>
      </c>
      <c r="AJ11" s="87" t="str">
        <f t="shared" si="1"/>
        <v>Gering</v>
      </c>
      <c r="AK11" s="90">
        <f t="shared" ca="1" si="4"/>
        <v>1100</v>
      </c>
      <c r="AL11" s="272" t="str">
        <f ca="1">CHOOSE(IF(AK11&gt;'NEN-EN 16991'!$AF$2,5,IF(AK11&gt;'NEN-EN 16991'!$AE$2,4,IF(AK11&gt;'NEN-EN 16991'!$AD$2,3,IF(AK11&gt;'NEN-EN 16991'!$AC$2,2,1)))),"Very low","Low","Medium","High","Very high")</f>
        <v>High</v>
      </c>
      <c r="AM11" s="10" t="s">
        <v>375</v>
      </c>
      <c r="AN11" s="65">
        <f t="shared" si="2"/>
        <v>0.99</v>
      </c>
      <c r="AO11" s="64">
        <f t="shared" ca="1" si="3"/>
        <v>11.000000000000011</v>
      </c>
      <c r="AP11" s="267" t="str">
        <f ca="1">IF(tblInstallatie[[#This Row],[Aanwezig rest-risico]]="?",tblInstallatie[[#This Row],[Risico; Isolatie conditie;
kwalitatief]],CHOOSE(IF(tblInstallatie[[#This Row],[Aanwezig rest-risico]]&gt;'NEN-EN 16991'!$AF$2,5,IF(tblInstallatie[[#This Row],[Aanwezig rest-risico]]&gt;'NEN-EN 16991'!$AE$2,4,IF(tblInstallatie[[#This Row],[Aanwezig rest-risico]]&gt;'NEN-EN 16991'!$AD$2,3,IF(tblInstallatie[[#This Row],[Aanwezig rest-risico]]&gt;'NEN-EN 16991'!$AC$2,2,1)))),"Very low","Low","Medium","High","Very high"))</f>
        <v>Medium</v>
      </c>
    </row>
  </sheetData>
  <dataConsolidate/>
  <conditionalFormatting sqref="J4:J11">
    <cfRule type="expression" dxfId="72" priority="13">
      <formula>IF($M4="Voldoende uitvoering en onvoldoende onderhoud",0,1)</formula>
    </cfRule>
  </conditionalFormatting>
  <conditionalFormatting sqref="Q4:R11 T4:U11">
    <cfRule type="expression" dxfId="71" priority="12">
      <formula>IF(LEFT($F4,1)="R",1,0)</formula>
    </cfRule>
  </conditionalFormatting>
  <conditionalFormatting sqref="AG4:AG11 AP4:AP11">
    <cfRule type="expression" dxfId="70" priority="7">
      <formula>IF(AG4="Very high",IF(KleurJN="Ja",1,0),0)</formula>
    </cfRule>
    <cfRule type="expression" dxfId="69" priority="8">
      <formula>IF(AG4="High",IF(KleurJN="Ja",1,0),0)</formula>
    </cfRule>
    <cfRule type="expression" dxfId="68" priority="9">
      <formula>IF(AG4="Medium",IF(KleurJN="Ja",1,0),0)</formula>
    </cfRule>
    <cfRule type="expression" dxfId="67" priority="10">
      <formula>IF(AG4="Low",IF(KleurJN="Ja",1,0),0)</formula>
    </cfRule>
    <cfRule type="expression" dxfId="66" priority="11">
      <formula>IF(AG4="Very low",IF(KleurJN="Ja",1,0),0)</formula>
    </cfRule>
  </conditionalFormatting>
  <conditionalFormatting sqref="AL4:AL11">
    <cfRule type="expression" dxfId="65" priority="2">
      <formula>IF(AL4="Very high",IF(KleurJN="Ja",1,0),0)</formula>
    </cfRule>
    <cfRule type="expression" dxfId="64" priority="3">
      <formula>IF(AL4="High",IF(KleurJN="Ja",1,0),0)</formula>
    </cfRule>
    <cfRule type="expression" dxfId="63" priority="4">
      <formula>IF(AL4="Medium",IF(KleurJN="Ja",1,0),0)</formula>
    </cfRule>
    <cfRule type="expression" dxfId="62" priority="5">
      <formula>IF(AL4="Low",IF(KleurJN="Ja",1,0),0)</formula>
    </cfRule>
    <cfRule type="expression" dxfId="61" priority="6">
      <formula>IF(AL4="Very low",IF(KleurJN="Ja",1,0),0)</formula>
    </cfRule>
  </conditionalFormatting>
  <conditionalFormatting sqref="P4:P11">
    <cfRule type="expression" dxfId="60" priority="1">
      <formula>IF(LEFT($F4,1)="R",1,0)</formula>
    </cfRule>
  </conditionalFormatting>
  <dataValidations xWindow="852" yWindow="223" count="64">
    <dataValidation type="list" allowBlank="1" showInputMessage="1" showErrorMessage="1" sqref="Q4:Q11">
      <formula1>"Warmte,Koude"</formula1>
    </dataValidation>
    <dataValidation type="list" allowBlank="1" showInputMessage="1" showErrorMessage="1" errorTitle="Nota bene:" error="Om afwijkende resultaten uit te sluiten kan hier alléén één van de opties worden ingevuld." sqref="AI4:AI11">
      <formula1>"Binnen-droog,Binnen-vochtig,Overdekt-droog,Overdekt-vochtig,Buiten"</formula1>
    </dataValidation>
    <dataValidation type="custom" showInputMessage="1" showErrorMessage="1" errorTitle="Géén input." error="De formule is afgeschermd om onbedoelde gegevensinbreng tegen te gaan." promptTitle="Het risico." prompt="Het risico op basis van procestemperatuur, kans op inlek en andere relevante omstandigheden (voor zover in het beslisproces in kaart gebracht)." sqref="AF4:AF10">
      <formula1>0</formula1>
    </dataValidation>
    <dataValidation allowBlank="1" showInputMessage="1" showErrorMessage="1" promptTitle="Mate van inlek:" prompt="De mate van inlek van vocht, zoals bepaald door de aangetroffen conditie." sqref="AJ3"/>
    <dataValidation type="custom" showInputMessage="1" showErrorMessage="1" errorTitle="Géén input." error="De formule is afgeschermd om onbedoelde gegevensinbreng tegen te gaan." sqref="AP4:AP11 AL4:AL11 AG4:AG11">
      <formula1>0</formula1>
    </dataValidation>
    <dataValidation allowBlank="1" showInputMessage="1" showErrorMessage="1" promptTitle="Het risico met falende isolatie:" prompt="Risico op dit moment in €'s, zónder toepassing van beheersmaatregelen, uitgaande van een lekke isolatie vanaf het moment van installeren._x000a_Dit risico is met gemiddelde waarden berekend (matrix MOTBF)." sqref="AF3"/>
    <dataValidation allowBlank="1" showInputMessage="1" showErrorMessage="1" promptTitle="Het risico met falende isolatie:" prompt="Risico op dit moment, zónder toepassing van beheersmaatregelen, kwalitatief beoordeeld uitgaande van een lekke isolatie vanaf het moment van installeren." sqref="AG3"/>
    <dataValidation showInputMessage="1" showErrorMessage="1" errorTitle="Géén input." error="De formule is afgeschermd om onbedoelde gegevensinbreng tegen te gaan." sqref="AK4:AK11"/>
    <dataValidation allowBlank="1" showInputMessage="1" showErrorMessage="1" promptTitle="Het risico met isolatie conditie" prompt="Risico op dit moment in €'s, zónder toepassing van beheersmaatregelen, uitgaande van de vastgestelde toestand van de isolatie middels visuele inspectie en conditie classificatie." sqref="AK3"/>
    <dataValidation allowBlank="1" showInputMessage="1" showErrorMessage="1" errorTitle="Géén input." error="De formule is afgeschermd om onbedoelde gegevensinbreng tegen te gaan." sqref="AN4:AO11"/>
    <dataValidation allowBlank="1" showInputMessage="1" showErrorMessage="1" promptTitle="Locatie:" prompt="De locatie van het installatiedeel, die te indentificeren is door middel van de locatie van de eventueel benodigde steiger._x000a__x000a_N.b.: door te bundelen naar locatie code kan vanuit een gebied met maximale efficiency worden gewerkt." sqref="C3"/>
    <dataValidation showInputMessage="1" showErrorMessage="1" errorTitle="Géén input." error="De formule is afgeschermd om onbedoelde gegevensinbreng tegen te gaan." promptTitle="Mate van inlek:" prompt="De mate van inlek, zoals afgeleid uit de vastgestelde conditie van de isolatie." sqref="AJ5:AJ11"/>
    <dataValidation type="list" allowBlank="1" showInputMessage="1" showErrorMessage="1" promptTitle="Opties:" prompt="1- Getest (= voldoende tolerant)* en &gt;10 jaar ervaring_x000a_2- Volledig getest en geen langdurige ervaring_x000a_3- Onvolledig getest maar geen ervaring; Nieuwe systemen" sqref="I4:I11">
      <mc:AlternateContent xmlns:x12ac="http://schemas.microsoft.com/office/spreadsheetml/2011/1/ac" xmlns:mc="http://schemas.openxmlformats.org/markup-compatibility/2006">
        <mc:Choice Requires="x12ac">
          <x12ac:list>"Getest, bewezen","Getest, onbewezen",Onvolledig getest</x12ac:list>
        </mc:Choice>
        <mc:Fallback>
          <formula1>"Getest, bewezen,Getest, onbewezen,Onvolledig getest"</formula1>
        </mc:Fallback>
      </mc:AlternateContent>
    </dataValidation>
    <dataValidation type="list" allowBlank="1" showInputMessage="1" showErrorMessage="1" promptTitle="Opties in coating kwaliteit:" prompt="1- Oude generatie coatings._x000a_2- Huidige, nieuwe generatie coatings." sqref="J4:J11">
      <formula1>"Oud,Recent"</formula1>
    </dataValidation>
    <dataValidation type="list" allowBlank="1" showInputMessage="1" showErrorMessage="1" promptTitle="Opties:" prompt="1-Conserveerbaarheid conform ISO 12944-3 vlgs coatingsdeskundige._x000a_Toegankelijkheid geschikt voor conservering_x000a_2-Conserveerbaarheid op 50% van het object moeilijk, bijv. liften bij oplegpunten._x000a_3- Conserveerbaarheid op &gt;80% van het object moeilijk, ,, . " sqref="K4:K11">
      <formula1>"Compleet,&gt;50% moeilijk,&gt;80% moeilijk"</formula1>
    </dataValidation>
    <dataValidation type="list" allowBlank="1" showInputMessage="1" showErrorMessage="1" promptTitle="Opties in proces &amp; uitvoering:" prompt="1- 100% doordacht en haalbaar proces. Getoetst door coatingdeskundige;_x000a_Goed plan; voldoende expertise_x000a_2- Goed plan; onvoldoende expertise_x000a_3- Onvoldoende plan; voldoende expertise_x000a_4- Onvoldoende plan; onvoldoende expertise" sqref="L4:L11">
      <mc:AlternateContent xmlns:x12ac="http://schemas.microsoft.com/office/spreadsheetml/2011/1/ac" xmlns:mc="http://schemas.openxmlformats.org/markup-compatibility/2006">
        <mc:Choice Requires="x12ac">
          <x12ac:list>Compleet,"Goed plan, Onvoldoende expertise"," Onvoldoende plan, voldoende expertise",Plan en expertise onvoldoende</x12ac:list>
        </mc:Choice>
        <mc:Fallback>
          <formula1>"Compleet,Goed plan, Onvoldoende expertise, Onvoldoende plan, voldoende expertise,Plan en expertise onvoldoende"</formula1>
        </mc:Fallback>
      </mc:AlternateContent>
    </dataValidation>
    <dataValidation type="list" allowBlank="1" showInputMessage="1" showErrorMessage="1" promptTitle="Opties in toestand van isolatie:" prompt="1- Goede uitvoering en voldoende onderhoud_x000a_2- Voldoende uitvoering en onvoldoende onderhoud_x000a_3- Onvoldoende uitvoering, voldoende onderhoud_x000a_4- Onvoldoende uitvoering, onvoldoende onderhoud" sqref="M4:M11">
      <mc:AlternateContent xmlns:x12ac="http://schemas.microsoft.com/office/spreadsheetml/2011/1/ac" xmlns:mc="http://schemas.openxmlformats.org/markup-compatibility/2006">
        <mc:Choice Requires="x12ac">
          <x12ac:list>Complete uitvoering en onderhoud,Voldoende uitvoering en onvoldoende onderhoud,"Onvoldoende uitvoering, voldoende onderhoud",Uitvoering én onderhoud onvoldoende</x12ac:list>
        </mc:Choice>
        <mc:Fallback>
          <formula1>"Complete uitvoering en onderhoud,Voldoende uitvoering en onvoldoende onderhoud,Onvoldoende uitvoering, voldoende onderhoud,Uitvoering én onderhoud onvoldoende"</formula1>
        </mc:Fallback>
      </mc:AlternateContent>
    </dataValidation>
    <dataValidation type="custom" showInputMessage="1" showErrorMessage="1" errorTitle="Formule afgeschermd!" error="Formule is afgeschermd om onbedoelde wijzigingen te verhinderen!" promptTitle="Levensduur coating:" prompt="De levensduur van de coating, gegeven de relevante beoordelingsaspecten, zoals weergegeven in deze tabel." sqref="N3">
      <formula1>0</formula1>
    </dataValidation>
    <dataValidation type="custom" showInputMessage="1" showErrorMessage="1" errorTitle="Nota bene;" error="Dit veld is afgeschermd om onbedoelde wijzigingen te voorkomen." promptTitle="Levensduur van de coating:" prompt="De berekende levensduur van de coating, op grond van de informatie in de vijf voorgaande kolommen." sqref="N5:N11">
      <formula1>0</formula1>
    </dataValidation>
    <dataValidation type="list" allowBlank="1" showInputMessage="1" showErrorMessage="1" promptTitle="Typical:" prompt="De component die maatgevend is voor de kritische locatie in de installatie (de &quot;hot spot&quot;)." sqref="V4:V11">
      <formula1>Typicals</formula1>
    </dataValidation>
    <dataValidation type="list" errorStyle="information" allowBlank="1" showInputMessage="1" showErrorMessage="1" errorTitle="Afwijkende keuze" error="Van dit materiaal is het effect (nog) niet bekend._x000a_Er wordt géén reducerende werking op de corrosiesnelheid verondersteld!" promptTitle="Isolatie materiaal:" prompt="Kies het materiaal of geef zelf een materiaal in._x000a_Hier onbekende materialen resulteren in maximaal effect." sqref="R4:R11">
      <formula1>IsolatieMateriaal</formula1>
    </dataValidation>
    <dataValidation allowBlank="1" showInputMessage="1" showErrorMessage="1" promptTitle="Skin temperatuur:" prompt="Dit is de materiaal temperatuur._x000a_Deze verschilt in het algemeen van de procestemperatuur._x000a_De resultante wordt hier handmatig ingegeven._x000a__x000a_Ingeval er een specifiek model is voor de temperatuur afhankelijk van het soort object, kan dat hier toegepast worden." sqref="O3"/>
    <dataValidation type="custom" allowBlank="1" showInputMessage="1" showErrorMessage="1" errorTitle="Onmogelijke invoer!" error="Het aantal cycli kan niet negatief zijn!" promptTitle="Nat-droog cycli:" prompt="Het aantal cycli wat van toepassing is, waarbij condensatie op kan treden onder de isolatie. Uitgangspunt is dat er altijd (bijv. bij stops) een condensatie scenario mogelijk is; bij lage aantallen is de isolatie toestand maatgevend voor de faalkans." sqref="T4:T11">
      <formula1>IF(T4&lt;0,0,1)</formula1>
    </dataValidation>
    <dataValidation type="list" allowBlank="1" showInputMessage="1" showErrorMessage="1" promptTitle="Zout-risico:" prompt="De invloed van de locale omstandigheden via de in de lucht aanwezige stoffen. Eea volgens de categorieën zoals die in de ISO 12944 worden onderscheiden." sqref="U4:U11">
      <formula1>ZoutRisico</formula1>
    </dataValidation>
    <dataValidation allowBlank="1" showInputMessage="1" showErrorMessage="1" promptTitle="In gebruik sinds:" prompt="Het moment van ingebruikname, wat voor het conditieverloop geldt als het &quot;nulpunt&quot;, oftewel het moment waarop de installatie &quot;als nieuw&quot; in gebruik is genomen._x000a_N.b.: dit kan ook een renovatiemoment zijn, als dit als een &quot;hernieuw begin&quot; kan worden gezien." sqref="S3"/>
    <dataValidation type="custom" showInputMessage="1" showErrorMessage="1" errorTitle="Nota bene:" error="Deze cel is beschermd tegen onbedoelde wijzigingen." promptTitle="Nat-droog cycli:" prompt="Het aantal cycli wat van toepassing is, waarbij condensatie op kan treden onder de isolatie. Uitgangspunt is dat er altijd (bijv. bij stops) een condensatie scenario mogelijk is; bij lage aantallen is de isolatie toestand maatgevend voor de faalkans." sqref="T3">
      <formula1>0</formula1>
    </dataValidation>
    <dataValidation allowBlank="1" showInputMessage="1" showErrorMessage="1" promptTitle="Rest-tijd tot normatief falen:" prompt="Het aantal jaren ná commissioning (met toestand minimaal &quot;goed&quot;) waarbij de toestand boven of op het minimum acceptatie niveau zit_x000a_ - minus -_x000a_de huidige leeftijd." sqref="W3"/>
    <dataValidation allowBlank="1" showInputMessage="1" showErrorMessage="1" promptTitle="Kans van falen:" prompt="Betreft de categorie die van toepassing is, gegeven de resterende tijd tot normatief falen._x000a_Zie tab [NEN-EN 16991] voor toelichting._x000a__x000a_Cat. 6 is &quot;grensoverschrijdend&quot;; is als extra limiet toegevoegd." sqref="X3"/>
    <dataValidation type="custom" showInputMessage="1" showErrorMessage="1" errorTitle="Nota bene;" error="Cel is afgeschermd om onbedoelde wijzigingen in de berekening te voorkomen." sqref="W4:W11">
      <formula1>0</formula1>
    </dataValidation>
    <dataValidation type="custom" showInputMessage="1" showErrorMessage="1" errorTitle="Nota bene:" error="De cel is afgeschermd om onbedoelde wijziging in de berekening te voorkomen." sqref="X4:X10">
      <formula1>0</formula1>
    </dataValidation>
    <dataValidation type="list" allowBlank="1" showInputMessage="1" showErrorMessage="1" promptTitle="De toestand van de isolatie." prompt="Classificatie van de conditie van de isolatie._x000a_Dit op basis van beoordeling van de toestand met de aanwezige kans op inlek van vocht." sqref="AH3">
      <mc:AlternateContent xmlns:x12ac="http://schemas.microsoft.com/office/spreadsheetml/2011/1/ac" xmlns:mc="http://schemas.openxmlformats.org/markup-compatibility/2006">
        <mc:Choice Requires="x12ac">
          <x12ac:list>"1, Zeer goed","2, Goed","3, Matig","4, Slecht","5, Zeer slecht","6, Onacceptabel"</x12ac:list>
        </mc:Choice>
        <mc:Fallback>
          <formula1>"1, Zeer goed,2, Goed,3, Matig,4, Slecht,5, Zeer slecht,6, Onacceptabel"</formula1>
        </mc:Fallback>
      </mc:AlternateContent>
    </dataValidation>
    <dataValidation allowBlank="1" showInputMessage="1" showErrorMessage="1" promptTitle="Aanwezigheid van omgevingsvocht:" prompt="De kans op binnentreden van vocht, gegeven de plaats waar de isolatie is aangebracht en de locale gebruiksomstandigheden." sqref="AI3"/>
    <dataValidation type="list" allowBlank="1" showInputMessage="1" showErrorMessage="1" errorTitle="Nota bene:" error="Om afwijkende resultaten uit te sluiten kan hier alléén één van de opties worden ingevuld." promptTitle="De toestand van de isolatie." prompt="Classificatie van de conditie van de isolatie._x000a_Dit op basis van beoordeling van de toestand met de aanwezige kans op inlek van vocht." sqref="AH4:AH11">
      <mc:AlternateContent xmlns:x12ac="http://schemas.microsoft.com/office/spreadsheetml/2011/1/ac" xmlns:mc="http://schemas.openxmlformats.org/markup-compatibility/2006">
        <mc:Choice Requires="x12ac">
          <x12ac:list>"1, Zeer goed","2, Goed","3, Matig","4, Slecht","5, Zeer slecht","6, Onacceptabel"</x12ac:list>
        </mc:Choice>
        <mc:Fallback>
          <formula1>"1, Zeer goed,2, Goed,3, Matig,4, Slecht,5, Zeer slecht,6, Onacceptabel"</formula1>
        </mc:Fallback>
      </mc:AlternateContent>
    </dataValidation>
    <dataValidation type="list" allowBlank="1" showInputMessage="1" showErrorMessage="1" sqref="AM4:AM11">
      <formula1>NDT_Techn</formula1>
    </dataValidation>
    <dataValidation allowBlank="1" showInputMessage="1" showErrorMessage="1" promptTitle="Beheersmaatregel:" prompt="De lijst van toe te passen beheersmaatregelen teneinde het aanwezige risico te reduceren." sqref="AM3"/>
    <dataValidation allowBlank="1" showInputMessage="1" showErrorMessage="1" promptTitle="Risico reductie:" prompt="De mate waarmee het risico wordt gereduceerd._x000a_Geldt voor techniek in bep. toepassing (faalmechanisme)._x000a_99% =&gt; risico * 0,99_x000a_90% =&gt; risico * 0,1._x000a_10%=&gt; risico * 0,9._x000a_ 0%=&gt; risico onveranderd." sqref="AN3"/>
    <dataValidation allowBlank="1" showInputMessage="1" showErrorMessage="1" promptTitle="Rest risico:" prompt="Het aanwezige rest-risico, gegeven de in de vorige kolommen vastgestelde invloedsfactoren." sqref="AO3"/>
    <dataValidation allowBlank="1" showInputMessage="1" showErrorMessage="1" promptTitle="Component:" prompt="Omschrijving van de betreffende asset, ter herkenning." sqref="E3"/>
    <dataValidation allowBlank="1" showInputMessage="1" showErrorMessage="1" promptTitle="Component - typical:" prompt="De component die maatgevend is voor de kritische locatie in de installatie (de &quot;hot spot&quot;)." sqref="V3"/>
    <dataValidation type="list" allowBlank="1" showInputMessage="1" showErrorMessage="1" promptTitle="Materiaal:" sqref="F4:F11">
      <mc:AlternateContent xmlns:x12ac="http://schemas.microsoft.com/office/spreadsheetml/2011/1/ac" xmlns:mc="http://schemas.openxmlformats.org/markup-compatibility/2006">
        <mc:Choice Requires="x12ac">
          <x12ac:list>C-staal," C-staal, TSA","C-staal, gecoat",RVS,"RVS, gecoat"</x12ac:list>
        </mc:Choice>
        <mc:Fallback>
          <formula1>"C-staal, C-staal, TSA,C-staal, gecoat,RVS,RVS, gecoat"</formula1>
        </mc:Fallback>
      </mc:AlternateContent>
    </dataValidation>
    <dataValidation allowBlank="1" showInputMessage="1" showErrorMessage="1" errorTitle="Nota bene;" error="Deze cel is tegen wijziging beschermd op onbedoelde effecten te voorkomen." promptTitle="Materiaal / coating:" prompt="De materiaal opties zoals van toepassing vanuit het projectplan._x000a_Met RVS wordt RVS 304 of RVS 316 bedoeld._x000a_C-staal betreft standaard koolstof-staal._x000a__x000a_Dit is tevens de invoer voor toepassing van coating / TSA." sqref="F3"/>
    <dataValidation allowBlank="1" showInputMessage="1" showErrorMessage="1" promptTitle="Unit:" prompt="De productie unit waar het installatiedeel een onderdeel van is._x000a_Dit veld stelt in staat om snel te groeperen naar procesomstandigheden en bijbehorende gevolgen van falen." sqref="D3"/>
    <dataValidation type="custom" showInputMessage="1" showErrorMessage="1" errorTitle="Géén input." error="De formule is afgeschermd om onbedoelde gegevensinbreng tegen te gaan." promptTitle="Mate van inlek:" prompt="De mate van inlek, zoals afgeleid uit de vastgestelde conditie van de isolatie." sqref="AJ4">
      <formula1>0</formula1>
    </dataValidation>
    <dataValidation type="list" allowBlank="1" showInputMessage="1" showErrorMessage="1" errorTitle="Nota bene;" error="Andere dan de gegeven waarden invullen, is niet mogelijk." promptTitle="Kleur?" prompt="Geef hier aan of de aanwezige risico's door middel van een kleur benadrukt moeten worden._x000a_&quot;Ja&quot;= Inkleuren" sqref="G1">
      <formula1>"Ja,Nee"</formula1>
    </dataValidation>
    <dataValidation allowBlank="1" showInputMessage="1" showErrorMessage="1" promptTitle="Het risico met falende isolatie:" prompt="Risico op dit moment, bij toepassing van de aangegeven beheersmaatregelen, kwalitatief beoordeeld uitgaande van de aangegeven toestand van de isolatie." sqref="AP3"/>
    <dataValidation type="custom" showInputMessage="1" showErrorMessage="1" promptTitle="Het risico met isolatie conditie" prompt="Risico op dit moment, kwalitatief, zónder toepassing van beheersmaatregelen, uitgaande van de vastgestelde toestand van de isolatie middels visuele inspectie en conditie classificatie." sqref="AL3">
      <formula1>0</formula1>
    </dataValidation>
    <dataValidation type="custom" showInputMessage="1" showErrorMessage="1" errorTitle="Nota bene;" error="Dit veld is afgeschermd om onbedoelde wijzigingen te voorkomen." promptTitle="Levensduur van de coating:" prompt="De berekende levensduur van de coating, op grond van de informatie in de vijf voorgaande kolommen." sqref="N4">
      <formula1>0</formula1>
    </dataValidation>
    <dataValidation type="custom" showInputMessage="1" showErrorMessage="1" errorTitle="Nota bene:" error="Deze gegevens zijn afgeschermd tegen wijziging om onbedoelde effecten te vermijden." promptTitle="Fase 1: Bureau studie" prompt="De velden hieronder zijn in te vullen, voor zover bekend._x000a_De mate van detail wordt bepaald door de mate waarin variatie in ontwerp aanwezig is._x000a_Hoe minder variatie, hoe minder ingezoomd hoeft te worden." sqref="B2:AG2">
      <formula1>0</formula1>
    </dataValidation>
    <dataValidation type="custom" showInputMessage="1" showErrorMessage="1" errorTitle="Nota bene:" error="Deze gegevens zijn afgeschermd tegen wijziging om onbedoelde effecten te vermijden." promptTitle="Fase 3: Isolatie conditie:" prompt="De velden hieronder zijn in te vullen, waarbij de gegevens van de isolatie conditie worden toegevoegd._x000a_In stap 2, hiervoor, is bepaald of deze uitwerking, gezien het kostenniveau, zinvol is of dat algehele vernieuwing kosteneffectiever is." sqref="AH2:AL2">
      <formula1>0</formula1>
    </dataValidation>
    <dataValidation type="custom" showInputMessage="1" showErrorMessage="1" errorTitle="Nota bene:" error="Deze gegevens zijn afgeschermd tegen wijziging om onbedoelde effecten te vermijden." promptTitle="Fase 4: Inspectie" prompt="De velden hieronder zijn in te vullen, waarbij de gegevens van de toe te passen inspectie(s) worden toegevoegd._x000a_Dit om daarmee op voorhand vast te stellen dat aan de risico-acceptatiecriteria voldaan kan gaan worden." sqref="AM2:AP2">
      <formula1>0</formula1>
    </dataValidation>
    <dataValidation allowBlank="1" showInputMessage="1" showErrorMessage="1" promptTitle="Procesvoering (facultatief):" prompt="Met dit veld kan eenvoudig op type proces geselecteerd worden._x000a_Dit om daarmee gegevens vooraf te bundelen om het invullen te vergemakkelijken (sorteren en dan invullen van meerdere geselecteerde cellen met gebruik van CTRL-ENTER)." sqref="H3"/>
    <dataValidation allowBlank="1" showInputMessage="1" showErrorMessage="1" promptTitle="Corrosie marge:" prompt="De vanuit het ontwerp aanwezige corrosie marge._x000a__x000a_Indien bekend is dat, vanwege proceszijdige aantasting, rekening gehouden moet worden met een afname, is dat hier al te verwerken. Immers, dat beïnvloedt het risico." sqref="G3"/>
    <dataValidation allowBlank="1" showInputMessage="1" showErrorMessage="1" promptTitle="Product (coating):" prompt="De mate waarin de kwaliteit van de coating bewezen is voor het gestelde doel." sqref="I3"/>
    <dataValidation allowBlank="1" showInputMessage="1" showErrorMessage="1" promptTitle="Isolatie materiaal:" prompt="Kies het materiaal of geef zelf een materiaal in._x000a_Hier onbekende materialen resulteren in maximaal effect." sqref="R3"/>
    <dataValidation allowBlank="1" showInputMessage="1" showErrorMessage="1" promptTitle="Zout-risico:" prompt="De invloed van de locale omstandigheden via de in de lucht aanwezige stoffen. Eea volgens de categorieën zoals die in de ISO 12944 worden onderscheiden." sqref="U3"/>
    <dataValidation allowBlank="1" showInputMessage="1" showErrorMessage="1" promptTitle="Opties in coating kwaliteit:" prompt="1- Oude generatie coatings._x000a_2- Huidige, nieuwe generatie coatings." sqref="J3"/>
    <dataValidation allowBlank="1" showInputMessage="1" showErrorMessage="1" promptTitle="Opties:" prompt="1-Conserveerbaarheid conform ISO 12944-3 vlgs coatingsdeskundige._x000a_Toegankelijkheid geschikt voor conservering_x000a_2-Conserveerbaarheid op 50% van het object moeilijk, bijv. liften bij oplegpunten._x000a_3- Conserveerbaarheid op &gt;80% van het object moeilijk, ,, . " sqref="K3"/>
    <dataValidation allowBlank="1" showInputMessage="1" showErrorMessage="1" promptTitle="Opties in proces en uitvoering:" prompt="1- 100% doordacht en haalbaar proces. Getoetst door coatingdeskundige;_x000a_Goed plan; voldoende expertise_x000a_2- Goed plan; onvoldoende expertise_x000a_3- Onvoldoende plan; voldoende expertise_x000a_4- Onvoldoende plan; onvoldoende expertise" sqref="L3"/>
    <dataValidation allowBlank="1" showInputMessage="1" showErrorMessage="1" promptTitle="Opties in de isolatie toestand:" prompt="1- Goede uitvoering en voldoende onderhoud_x000a_2- Voldoende uitvoering en onvoldoende onderhoud_x000a_3- Onvoldoende uitvoering, voldoende onderhoud_x000a_4- Onvoldoende uitvoering, onvoldoende onderhoud" sqref="M3"/>
    <dataValidation type="decimal" operator="greaterThanOrEqual" allowBlank="1" showInputMessage="1" showErrorMessage="1" promptTitle="Corrosie marge:" prompt="De hoeveelheid materiaal die kan verdwijnen totdat niet meer aan de integriteits-eisen wordt voldaan._x000a_(corrosie marge; 10% van de nominale dikte of de berekende beschikbare wanddikte voor corrosie)" sqref="G4:G11">
      <formula1>0</formula1>
    </dataValidation>
    <dataValidation type="custom" showInputMessage="1" showErrorMessage="1" errorTitle="Nota bene:" error="De cel is afgeschermd om onbedoelde wijziging in de berekening te voorkomen." sqref="X11">
      <formula1>0</formula1>
    </dataValidation>
    <dataValidation type="custom" showInputMessage="1" showErrorMessage="1" errorTitle="Géén input." error="De formule is afgeschermd om onbedoelde gegevensinbreng tegen te gaan." promptTitle="Het risico." prompt="Het risico op basis van procestemperatuur, kans op inlek en andere relevante omstandigheden (voor zover in het beslisproces in kaart gebracht)." sqref="AF11">
      <formula1>0</formula1>
    </dataValidation>
    <dataValidation allowBlank="1" showInputMessage="1" showErrorMessage="1" promptTitle="Proces type:" prompt="Type van proces, is van belang doordat skintemperatuur bij gas meer afwijkt van de procestemperatuur dan bij vloeistof." sqref="P3"/>
    <dataValidation type="list" allowBlank="1" showInputMessage="1" showErrorMessage="1" sqref="P4:P11">
      <formula1>"Gas,Vloeistof,Wisselend"</formula1>
    </dataValidation>
  </dataValidations>
  <pageMargins left="0.70866141732283472" right="0.70866141732283472" top="1.3385826771653544" bottom="0.74803149606299213" header="0.31496062992125984" footer="0.31496062992125984"/>
  <pageSetup paperSize="9" scale="88" orientation="landscape" r:id="rId1"/>
  <headerFooter>
    <oddHeader>&amp;L&amp;G&amp;RWorld Class Maintenance project: Risk Based CUI Management.</oddHeader>
    <oddFooter>&amp;L&amp;9File / Tab: &amp;F / &amp;A&amp;C&amp;9Printdatum: &amp;D&amp;R&amp;9Bladzijde &amp;P van &amp;N.</oddFooter>
  </headerFooter>
  <ignoredErrors>
    <ignoredError sqref="W4:W11 AJ4 AL3 AP4:AP11 N3:N11 T3 AH3 X4:X11 AL4:AL11 AG4:AG11 AF4:AF11" listDataValidation="1"/>
  </ignoredErrors>
  <drawing r:id="rId2"/>
  <legacyDrawing r:id="rId3"/>
  <legacyDrawingHF r:id="rId4"/>
  <tableParts count="1">
    <tablePart r:id="rId5"/>
  </tableParts>
  <extLst>
    <ext xmlns:x14="http://schemas.microsoft.com/office/spreadsheetml/2009/9/main" uri="{CCE6A557-97BC-4b89-ADB6-D9C93CAAB3DF}">
      <x14:dataValidations xmlns:xm="http://schemas.microsoft.com/office/excel/2006/main" xWindow="852" yWindow="223" count="1">
        <x14:dataValidation type="list" allowBlank="1" showInputMessage="1" showErrorMessage="1" errorTitle="Nota bene:" error="Andere, afwijkende, categorieën worden niet geaccepteerd omdat dit afwijkt van het gehanteerde model voor risicobeoordeling." promptTitle="Optie:" prompt="Zie klasse indeling op Tabblad NEN-EN 16991.">
          <x14:formula1>
            <xm:f>'NEN-EN 16991'!$I$12:$I$16</xm:f>
          </x14:formula1>
          <xm:sqref>Y4:AE11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0"/>
  <sheetViews>
    <sheetView zoomScale="85" zoomScaleNormal="85" workbookViewId="0"/>
  </sheetViews>
  <sheetFormatPr defaultColWidth="0" defaultRowHeight="15" zeroHeight="1" x14ac:dyDescent="0.3"/>
  <cols>
    <col min="1" max="61" width="2.85546875" customWidth="1"/>
    <col min="62" max="62" width="20.85546875" customWidth="1"/>
    <col min="63" max="16384" width="2.85546875" hidden="1"/>
  </cols>
  <sheetData>
    <row r="1" spans="1:62" ht="15" customHeight="1" thickBot="1" x14ac:dyDescent="0.35">
      <c r="A1" s="109" t="s">
        <v>179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row>
    <row r="2" spans="1:62" x14ac:dyDescent="0.3">
      <c r="A2" s="273" t="s">
        <v>180</v>
      </c>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W2" s="273"/>
      <c r="AX2" s="273"/>
      <c r="AY2" s="273"/>
      <c r="AZ2" s="273"/>
      <c r="BA2" s="273"/>
      <c r="BB2" s="273"/>
      <c r="BC2" s="273"/>
      <c r="BD2" s="273"/>
      <c r="BE2" s="273"/>
      <c r="BF2" s="273"/>
      <c r="BG2" s="273"/>
      <c r="BH2" s="273"/>
      <c r="BI2" s="273"/>
    </row>
    <row r="3" spans="1:62" x14ac:dyDescent="0.3">
      <c r="A3" s="273" t="s">
        <v>181</v>
      </c>
      <c r="B3" s="273"/>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c r="AG3" s="273"/>
      <c r="AH3" s="273"/>
      <c r="AI3" s="273"/>
      <c r="AJ3" s="273"/>
      <c r="AK3" s="273"/>
      <c r="AL3" s="273"/>
      <c r="AM3" s="273"/>
      <c r="AN3" s="273"/>
      <c r="AO3" s="273"/>
      <c r="AP3" s="273"/>
      <c r="AQ3" s="273"/>
      <c r="AR3" s="273"/>
      <c r="AS3" s="273"/>
      <c r="AT3" s="273"/>
      <c r="AU3" s="273"/>
      <c r="AV3" s="273"/>
      <c r="AW3" s="273"/>
      <c r="AX3" s="273"/>
      <c r="AY3" s="273"/>
      <c r="AZ3" s="273"/>
      <c r="BA3" s="273"/>
      <c r="BB3" s="273"/>
      <c r="BC3" s="273"/>
      <c r="BD3" s="273"/>
      <c r="BE3" s="273"/>
      <c r="BF3" s="273"/>
      <c r="BG3" s="273"/>
      <c r="BH3" s="273"/>
      <c r="BI3" s="273"/>
    </row>
    <row r="4" spans="1:62" x14ac:dyDescent="0.3">
      <c r="A4" s="273" t="s">
        <v>182</v>
      </c>
      <c r="B4" s="273"/>
      <c r="C4" s="273"/>
      <c r="D4" s="273"/>
      <c r="E4" s="273"/>
      <c r="F4" s="273"/>
      <c r="G4" s="273"/>
      <c r="H4" s="273"/>
      <c r="I4" s="273"/>
      <c r="J4" s="273"/>
      <c r="K4" s="273"/>
      <c r="L4" s="273"/>
      <c r="M4" s="273"/>
      <c r="N4" s="273"/>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row>
    <row r="5" spans="1:62" x14ac:dyDescent="0.3">
      <c r="A5" s="273" t="s">
        <v>183</v>
      </c>
      <c r="B5" s="273"/>
      <c r="C5" s="273"/>
      <c r="D5" s="273"/>
      <c r="E5" s="273"/>
      <c r="F5" s="273"/>
      <c r="G5" s="273"/>
      <c r="H5" s="273"/>
      <c r="I5" s="273"/>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row>
    <row r="6" spans="1:62" x14ac:dyDescent="0.3">
      <c r="A6" s="274" t="s">
        <v>238</v>
      </c>
      <c r="B6" s="274"/>
      <c r="C6" s="274"/>
      <c r="D6" s="274"/>
      <c r="E6" s="274"/>
      <c r="F6" s="274"/>
      <c r="G6" s="274"/>
      <c r="H6" s="274"/>
      <c r="I6" s="274"/>
      <c r="J6" s="274"/>
      <c r="K6" s="274"/>
      <c r="L6" s="274"/>
      <c r="M6" s="274"/>
      <c r="N6" s="274"/>
      <c r="O6" s="274"/>
      <c r="P6" s="274"/>
      <c r="Q6" s="274"/>
      <c r="R6" s="274"/>
      <c r="S6" s="274"/>
      <c r="T6" s="274"/>
      <c r="U6" s="274"/>
      <c r="V6" s="274"/>
      <c r="W6" s="274"/>
      <c r="X6" s="274"/>
      <c r="Y6" s="274"/>
      <c r="Z6" s="274"/>
      <c r="AA6" s="274"/>
      <c r="AB6" s="274"/>
      <c r="AC6" s="274"/>
      <c r="AD6" s="274"/>
      <c r="AE6" s="274"/>
      <c r="AF6" s="274"/>
      <c r="AG6" s="274"/>
      <c r="AH6" s="274"/>
      <c r="AI6" s="274"/>
      <c r="AJ6" s="274"/>
      <c r="AK6" s="274"/>
      <c r="AL6" s="274"/>
      <c r="AM6" s="274"/>
      <c r="AN6" s="274"/>
      <c r="AO6" s="274"/>
      <c r="AP6" s="274"/>
      <c r="AQ6" s="274"/>
      <c r="AR6" s="274"/>
      <c r="AS6" s="274"/>
      <c r="AT6" s="274"/>
      <c r="AU6" s="274"/>
      <c r="AV6" s="274"/>
      <c r="AW6" s="274"/>
      <c r="AX6" s="274"/>
      <c r="AY6" s="274"/>
      <c r="AZ6" s="274"/>
      <c r="BA6" s="274"/>
      <c r="BB6" s="274"/>
      <c r="BC6" s="274"/>
      <c r="BD6" s="274"/>
      <c r="BE6" s="274"/>
      <c r="BF6" s="274"/>
      <c r="BG6" s="274"/>
      <c r="BH6" s="274"/>
      <c r="BI6" s="274"/>
    </row>
    <row r="7" spans="1:62" x14ac:dyDescent="0.3">
      <c r="A7" s="274" t="s">
        <v>239</v>
      </c>
      <c r="B7" s="274"/>
      <c r="C7" s="274"/>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4"/>
      <c r="AZ7" s="274"/>
      <c r="BA7" s="274"/>
      <c r="BB7" s="274"/>
      <c r="BC7" s="274"/>
      <c r="BD7" s="274"/>
      <c r="BE7" s="274"/>
      <c r="BF7" s="274"/>
      <c r="BG7" s="274"/>
      <c r="BH7" s="274"/>
      <c r="BI7" s="274"/>
    </row>
    <row r="8" spans="1:62" x14ac:dyDescent="0.3">
      <c r="A8" s="274" t="s">
        <v>237</v>
      </c>
      <c r="B8" s="274"/>
      <c r="C8" s="274"/>
      <c r="D8" s="274"/>
      <c r="E8" s="274"/>
      <c r="F8" s="274"/>
      <c r="G8" s="274"/>
      <c r="H8" s="274"/>
      <c r="I8" s="274"/>
      <c r="J8" s="274"/>
      <c r="K8" s="274"/>
      <c r="L8" s="274"/>
      <c r="M8" s="274"/>
      <c r="N8" s="274"/>
      <c r="O8" s="274"/>
      <c r="P8" s="274"/>
      <c r="Q8" s="274"/>
      <c r="R8" s="274"/>
      <c r="S8" s="274"/>
      <c r="T8" s="274"/>
      <c r="U8" s="274"/>
      <c r="V8" s="274"/>
      <c r="W8" s="274"/>
      <c r="X8" s="274"/>
      <c r="Y8" s="274"/>
      <c r="Z8" s="274"/>
      <c r="AA8" s="274"/>
      <c r="AB8" s="274"/>
      <c r="AC8" s="274"/>
      <c r="AD8" s="274"/>
      <c r="AE8" s="274"/>
      <c r="AF8" s="274"/>
      <c r="AG8" s="274"/>
      <c r="AH8" s="274"/>
      <c r="AI8" s="274"/>
      <c r="AJ8" s="274"/>
      <c r="AK8" s="274"/>
      <c r="AL8" s="274"/>
      <c r="AM8" s="274"/>
      <c r="AN8" s="274"/>
      <c r="AO8" s="274"/>
      <c r="AP8" s="274"/>
      <c r="AQ8" s="274"/>
      <c r="AR8" s="274"/>
      <c r="AS8" s="274"/>
      <c r="AT8" s="274"/>
      <c r="AU8" s="274"/>
      <c r="AV8" s="274"/>
      <c r="AW8" s="274"/>
      <c r="AX8" s="274"/>
      <c r="AY8" s="274"/>
      <c r="AZ8" s="274"/>
      <c r="BA8" s="274"/>
      <c r="BB8" s="274"/>
      <c r="BC8" s="274"/>
      <c r="BD8" s="274"/>
      <c r="BE8" s="274"/>
      <c r="BF8" s="274"/>
      <c r="BG8" s="274"/>
      <c r="BH8" s="274"/>
      <c r="BI8" s="274"/>
    </row>
    <row r="9" spans="1:62" ht="201.75" customHeight="1" x14ac:dyDescent="0.3">
      <c r="A9" s="273"/>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3"/>
      <c r="AN9" s="273"/>
      <c r="AO9" s="273"/>
      <c r="AP9" s="273"/>
      <c r="AQ9" s="273"/>
      <c r="AR9" s="273"/>
      <c r="AS9" s="273"/>
      <c r="AT9" s="273"/>
      <c r="AU9" s="273"/>
      <c r="AV9" s="273"/>
      <c r="AW9" s="273"/>
      <c r="AX9" s="273"/>
      <c r="AY9" s="273"/>
      <c r="AZ9" s="273"/>
      <c r="BA9" s="273"/>
      <c r="BB9" s="273"/>
      <c r="BC9" s="273"/>
      <c r="BD9" s="273"/>
      <c r="BE9" s="273"/>
      <c r="BF9" s="273"/>
      <c r="BG9" s="273"/>
      <c r="BH9" s="273"/>
      <c r="BI9" s="273"/>
    </row>
    <row r="10" spans="1:62" x14ac:dyDescent="0.3">
      <c r="A10" s="274" t="s">
        <v>240</v>
      </c>
      <c r="B10" s="274"/>
      <c r="C10" s="274"/>
      <c r="D10" s="274"/>
      <c r="E10" s="274"/>
      <c r="F10" s="274"/>
      <c r="G10" s="274"/>
      <c r="H10" s="274"/>
      <c r="I10" s="274"/>
      <c r="J10" s="274"/>
      <c r="K10" s="274"/>
      <c r="L10" s="274"/>
      <c r="M10" s="274"/>
      <c r="N10" s="274"/>
      <c r="O10" s="274"/>
      <c r="P10" s="274"/>
      <c r="Q10" s="274"/>
      <c r="R10" s="274"/>
      <c r="S10" s="274"/>
      <c r="T10" s="274"/>
      <c r="U10" s="274"/>
      <c r="V10" s="274"/>
      <c r="W10" s="274"/>
      <c r="X10" s="274"/>
      <c r="Y10" s="274"/>
      <c r="Z10" s="274"/>
      <c r="AA10" s="274"/>
      <c r="AB10" s="274"/>
      <c r="AC10" s="274"/>
      <c r="AD10" s="274"/>
      <c r="AE10" s="274"/>
      <c r="AF10" s="274"/>
      <c r="AG10" s="274"/>
      <c r="AH10" s="274"/>
      <c r="AI10" s="274"/>
      <c r="AJ10" s="274"/>
      <c r="AK10" s="274"/>
      <c r="AL10" s="274"/>
      <c r="AM10" s="274"/>
      <c r="AN10" s="274"/>
      <c r="AO10" s="274"/>
      <c r="AP10" s="274"/>
      <c r="AQ10" s="274"/>
      <c r="AR10" s="274"/>
      <c r="AS10" s="274"/>
      <c r="AT10" s="274"/>
      <c r="AU10" s="274"/>
      <c r="AV10" s="274"/>
      <c r="AW10" s="274"/>
      <c r="AX10" s="274"/>
      <c r="AY10" s="274"/>
      <c r="AZ10" s="274"/>
      <c r="BA10" s="274"/>
      <c r="BB10" s="274"/>
      <c r="BC10" s="274"/>
      <c r="BD10" s="274"/>
      <c r="BE10" s="274"/>
      <c r="BF10" s="274"/>
      <c r="BG10" s="274"/>
      <c r="BH10" s="274"/>
      <c r="BI10" s="274"/>
    </row>
    <row r="11" spans="1:62" x14ac:dyDescent="0.3">
      <c r="A11" s="274"/>
      <c r="B11" s="274"/>
      <c r="C11" s="274"/>
      <c r="D11" s="274"/>
      <c r="E11" s="274"/>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4"/>
      <c r="AI11" s="274"/>
      <c r="AJ11" s="274"/>
      <c r="AK11" s="274"/>
      <c r="AL11" s="274"/>
      <c r="AM11" s="274"/>
      <c r="AN11" s="274"/>
      <c r="AO11" s="274"/>
      <c r="AP11" s="274"/>
      <c r="AQ11" s="274"/>
      <c r="AR11" s="274"/>
      <c r="AS11" s="274"/>
      <c r="AT11" s="274"/>
      <c r="AU11" s="274"/>
      <c r="AV11" s="274"/>
      <c r="AW11" s="274"/>
      <c r="AX11" s="274"/>
      <c r="AY11" s="274"/>
      <c r="AZ11" s="274"/>
      <c r="BA11" s="274"/>
      <c r="BB11" s="274"/>
      <c r="BC11" s="274"/>
      <c r="BD11" s="274"/>
      <c r="BE11" s="274"/>
      <c r="BF11" s="274"/>
      <c r="BG11" s="274"/>
      <c r="BH11" s="274"/>
      <c r="BI11" s="274"/>
    </row>
    <row r="12" spans="1:62" x14ac:dyDescent="0.3">
      <c r="A12" s="273" t="s">
        <v>184</v>
      </c>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273"/>
      <c r="AL12" s="273"/>
      <c r="AM12" s="273"/>
      <c r="AN12" s="273"/>
      <c r="AO12" s="273"/>
      <c r="AP12" s="273"/>
      <c r="AQ12" s="273"/>
      <c r="AR12" s="273"/>
      <c r="AS12" s="273"/>
      <c r="AT12" s="273"/>
      <c r="AU12" s="273"/>
      <c r="AV12" s="273"/>
      <c r="AW12" s="273"/>
      <c r="AX12" s="273"/>
      <c r="AY12" s="273"/>
      <c r="AZ12" s="273"/>
      <c r="BA12" s="273"/>
      <c r="BB12" s="273"/>
      <c r="BC12" s="273"/>
      <c r="BD12" s="273"/>
      <c r="BE12" s="273"/>
      <c r="BF12" s="273"/>
      <c r="BG12" s="273"/>
      <c r="BH12" s="273"/>
      <c r="BI12" s="273"/>
    </row>
    <row r="13" spans="1:62" x14ac:dyDescent="0.3">
      <c r="A13" s="108" t="s">
        <v>42</v>
      </c>
      <c r="B13" s="108" t="s">
        <v>43</v>
      </c>
      <c r="C13" s="108" t="s">
        <v>44</v>
      </c>
      <c r="D13" s="108" t="s">
        <v>45</v>
      </c>
      <c r="E13" s="108" t="s">
        <v>46</v>
      </c>
      <c r="F13" s="108" t="s">
        <v>185</v>
      </c>
      <c r="G13" s="108" t="s">
        <v>186</v>
      </c>
      <c r="H13" s="108" t="s">
        <v>187</v>
      </c>
      <c r="I13" s="108" t="s">
        <v>188</v>
      </c>
      <c r="J13" s="108" t="s">
        <v>189</v>
      </c>
      <c r="K13" s="108" t="s">
        <v>190</v>
      </c>
      <c r="L13" s="108" t="s">
        <v>191</v>
      </c>
      <c r="M13" s="108" t="s">
        <v>192</v>
      </c>
      <c r="N13" s="108" t="s">
        <v>137</v>
      </c>
      <c r="O13" s="108" t="s">
        <v>193</v>
      </c>
      <c r="P13" s="108" t="s">
        <v>194</v>
      </c>
      <c r="Q13" s="108" t="s">
        <v>195</v>
      </c>
      <c r="R13" s="108" t="s">
        <v>196</v>
      </c>
      <c r="S13" s="108" t="s">
        <v>138</v>
      </c>
      <c r="T13" s="108" t="s">
        <v>197</v>
      </c>
      <c r="U13" s="108" t="s">
        <v>198</v>
      </c>
      <c r="V13" s="108" t="s">
        <v>199</v>
      </c>
      <c r="W13" s="108" t="s">
        <v>139</v>
      </c>
      <c r="X13" s="108" t="s">
        <v>200</v>
      </c>
      <c r="Y13" s="108" t="s">
        <v>201</v>
      </c>
      <c r="Z13" s="108" t="s">
        <v>202</v>
      </c>
      <c r="AA13" s="108" t="s">
        <v>203</v>
      </c>
      <c r="AB13" s="108" t="s">
        <v>204</v>
      </c>
      <c r="AC13" s="108" t="s">
        <v>205</v>
      </c>
      <c r="AD13" s="108" t="s">
        <v>206</v>
      </c>
      <c r="AE13" s="108" t="s">
        <v>207</v>
      </c>
      <c r="AF13" s="108" t="s">
        <v>208</v>
      </c>
      <c r="AG13" s="108" t="s">
        <v>209</v>
      </c>
      <c r="AH13" s="108" t="s">
        <v>210</v>
      </c>
      <c r="AI13" s="108" t="s">
        <v>211</v>
      </c>
      <c r="AJ13" s="108" t="s">
        <v>212</v>
      </c>
      <c r="AK13" s="108" t="s">
        <v>213</v>
      </c>
      <c r="AL13" s="108" t="s">
        <v>214</v>
      </c>
      <c r="AM13" s="108" t="s">
        <v>215</v>
      </c>
      <c r="AN13" s="108" t="s">
        <v>216</v>
      </c>
      <c r="AO13" s="108" t="s">
        <v>217</v>
      </c>
      <c r="AP13" s="108" t="s">
        <v>218</v>
      </c>
      <c r="AQ13" s="108" t="s">
        <v>219</v>
      </c>
      <c r="AR13" s="108" t="s">
        <v>220</v>
      </c>
      <c r="AS13" s="108" t="s">
        <v>221</v>
      </c>
      <c r="AT13" s="108" t="s">
        <v>222</v>
      </c>
      <c r="AU13" s="108" t="s">
        <v>223</v>
      </c>
      <c r="AV13" s="108" t="s">
        <v>224</v>
      </c>
      <c r="AW13" s="108" t="s">
        <v>225</v>
      </c>
      <c r="AX13" s="108" t="s">
        <v>226</v>
      </c>
      <c r="AY13" s="108" t="s">
        <v>227</v>
      </c>
      <c r="AZ13" s="108" t="s">
        <v>228</v>
      </c>
      <c r="BA13" s="108" t="s">
        <v>229</v>
      </c>
      <c r="BB13" s="108" t="s">
        <v>230</v>
      </c>
      <c r="BC13" s="108" t="s">
        <v>231</v>
      </c>
      <c r="BD13" s="108" t="s">
        <v>232</v>
      </c>
      <c r="BE13" s="108" t="s">
        <v>233</v>
      </c>
      <c r="BF13" s="108" t="s">
        <v>234</v>
      </c>
      <c r="BG13" s="108" t="s">
        <v>235</v>
      </c>
      <c r="BH13" s="108" t="s">
        <v>236</v>
      </c>
      <c r="BI13" s="12">
        <v>11</v>
      </c>
      <c r="BJ13" s="76" t="s">
        <v>170</v>
      </c>
    </row>
    <row r="14" spans="1:62" x14ac:dyDescent="0.3">
      <c r="A14" s="105"/>
      <c r="B14" s="104"/>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3"/>
      <c r="AH14" s="104"/>
      <c r="AI14" s="104"/>
      <c r="AJ14" s="104"/>
      <c r="AK14" s="104"/>
      <c r="AL14" s="104"/>
      <c r="AM14" s="104"/>
      <c r="AN14" s="104"/>
      <c r="AO14" s="103"/>
      <c r="AP14" s="104"/>
      <c r="AQ14" s="104"/>
      <c r="AR14" s="104"/>
      <c r="AS14" s="104"/>
      <c r="AT14" s="104"/>
      <c r="AU14" s="104"/>
      <c r="AV14" s="104"/>
      <c r="AW14" s="103"/>
      <c r="AX14" s="104"/>
      <c r="AY14" s="104"/>
      <c r="AZ14" s="104"/>
      <c r="BA14" s="104"/>
      <c r="BB14" s="103"/>
      <c r="BC14" s="103"/>
      <c r="BD14" s="104"/>
      <c r="BE14" s="104"/>
      <c r="BF14" s="104"/>
      <c r="BG14" s="104"/>
      <c r="BH14" s="103"/>
      <c r="BI14">
        <f>BI13+1</f>
        <v>12</v>
      </c>
      <c r="BJ14" s="49" t="s">
        <v>171</v>
      </c>
    </row>
    <row r="15" spans="1:62" ht="15" customHeight="1" x14ac:dyDescent="0.3">
      <c r="A15" s="102"/>
      <c r="B15" s="101"/>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0"/>
      <c r="AH15" s="101"/>
      <c r="AI15" s="101"/>
      <c r="AJ15" s="101"/>
      <c r="AK15" s="101"/>
      <c r="AL15" s="101"/>
      <c r="AM15" s="101"/>
      <c r="AN15" s="101"/>
      <c r="AO15" s="100"/>
      <c r="AP15" s="101"/>
      <c r="AQ15" s="101"/>
      <c r="AR15" s="101"/>
      <c r="AS15" s="101"/>
      <c r="AT15" s="101"/>
      <c r="AU15" s="101"/>
      <c r="AV15" s="101"/>
      <c r="AW15" s="100"/>
      <c r="AX15" s="101"/>
      <c r="AY15" s="101"/>
      <c r="AZ15" s="101"/>
      <c r="BA15" s="101"/>
      <c r="BB15" s="100"/>
      <c r="BC15" s="100"/>
      <c r="BD15" s="101"/>
      <c r="BE15" s="101"/>
      <c r="BF15" s="101"/>
      <c r="BG15" s="101"/>
      <c r="BH15" s="100"/>
      <c r="BI15">
        <f t="shared" ref="BI15:BI46" si="0">BI14+1</f>
        <v>13</v>
      </c>
      <c r="BJ15" s="49" t="s">
        <v>172</v>
      </c>
    </row>
    <row r="16" spans="1:62" x14ac:dyDescent="0.3">
      <c r="A16" s="102"/>
      <c r="B16" s="101"/>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0"/>
      <c r="AH16" s="101"/>
      <c r="AI16" s="101"/>
      <c r="AJ16" s="101"/>
      <c r="AK16" s="101"/>
      <c r="AL16" s="101"/>
      <c r="AM16" s="101"/>
      <c r="AN16" s="101"/>
      <c r="AO16" s="100"/>
      <c r="AP16" s="101"/>
      <c r="AQ16" s="101"/>
      <c r="AR16" s="101"/>
      <c r="AS16" s="101"/>
      <c r="AT16" s="101"/>
      <c r="AU16" s="101"/>
      <c r="AV16" s="101"/>
      <c r="AW16" s="100"/>
      <c r="AX16" s="101"/>
      <c r="AY16" s="101"/>
      <c r="AZ16" s="101"/>
      <c r="BA16" s="101"/>
      <c r="BB16" s="100"/>
      <c r="BC16" s="100"/>
      <c r="BD16" s="101"/>
      <c r="BE16" s="101"/>
      <c r="BF16" s="101"/>
      <c r="BG16" s="101"/>
      <c r="BH16" s="100"/>
      <c r="BI16">
        <f t="shared" si="0"/>
        <v>14</v>
      </c>
      <c r="BJ16" s="2"/>
    </row>
    <row r="17" spans="1:62" x14ac:dyDescent="0.3">
      <c r="A17" s="102"/>
      <c r="B17" s="101"/>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0"/>
      <c r="AH17" s="101"/>
      <c r="AI17" s="101"/>
      <c r="AJ17" s="101"/>
      <c r="AK17" s="101"/>
      <c r="AL17" s="101"/>
      <c r="AM17" s="101"/>
      <c r="AN17" s="101"/>
      <c r="AO17" s="100"/>
      <c r="AP17" s="101"/>
      <c r="AQ17" s="101"/>
      <c r="AR17" s="101"/>
      <c r="AS17" s="101"/>
      <c r="AT17" s="101"/>
      <c r="AU17" s="101"/>
      <c r="AV17" s="101"/>
      <c r="AW17" s="100"/>
      <c r="AX17" s="101"/>
      <c r="AY17" s="101"/>
      <c r="AZ17" s="101"/>
      <c r="BA17" s="101"/>
      <c r="BB17" s="100"/>
      <c r="BC17" s="100"/>
      <c r="BD17" s="101"/>
      <c r="BE17" s="101"/>
      <c r="BF17" s="101"/>
      <c r="BG17" s="101"/>
      <c r="BH17" s="100"/>
      <c r="BI17">
        <f t="shared" si="0"/>
        <v>15</v>
      </c>
      <c r="BJ17" s="2"/>
    </row>
    <row r="18" spans="1:62" x14ac:dyDescent="0.3">
      <c r="A18" s="102"/>
      <c r="B18" s="101"/>
      <c r="C18" s="101"/>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B18" s="101"/>
      <c r="AC18" s="101"/>
      <c r="AD18" s="101"/>
      <c r="AE18" s="101"/>
      <c r="AF18" s="101"/>
      <c r="AG18" s="100"/>
      <c r="AH18" s="101"/>
      <c r="AI18" s="101"/>
      <c r="AJ18" s="101"/>
      <c r="AK18" s="101"/>
      <c r="AL18" s="101"/>
      <c r="AM18" s="101"/>
      <c r="AN18" s="101"/>
      <c r="AO18" s="100"/>
      <c r="AP18" s="101"/>
      <c r="AQ18" s="101"/>
      <c r="AR18" s="101"/>
      <c r="AS18" s="101"/>
      <c r="AT18" s="101"/>
      <c r="AU18" s="101"/>
      <c r="AV18" s="101"/>
      <c r="AW18" s="100"/>
      <c r="AX18" s="101"/>
      <c r="AY18" s="101"/>
      <c r="AZ18" s="101"/>
      <c r="BA18" s="101"/>
      <c r="BB18" s="100"/>
      <c r="BC18" s="100"/>
      <c r="BD18" s="101"/>
      <c r="BE18" s="101"/>
      <c r="BF18" s="101"/>
      <c r="BG18" s="101"/>
      <c r="BH18" s="100"/>
      <c r="BI18">
        <f t="shared" si="0"/>
        <v>16</v>
      </c>
      <c r="BJ18" s="2"/>
    </row>
    <row r="19" spans="1:62" x14ac:dyDescent="0.3">
      <c r="A19" s="102"/>
      <c r="B19" s="101"/>
      <c r="C19" s="101"/>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0"/>
      <c r="AH19" s="101"/>
      <c r="AI19" s="101"/>
      <c r="AJ19" s="101"/>
      <c r="AK19" s="101"/>
      <c r="AL19" s="101"/>
      <c r="AM19" s="101"/>
      <c r="AN19" s="101"/>
      <c r="AO19" s="100"/>
      <c r="AP19" s="101"/>
      <c r="AQ19" s="101"/>
      <c r="AR19" s="101"/>
      <c r="AS19" s="101"/>
      <c r="AT19" s="101"/>
      <c r="AU19" s="101"/>
      <c r="AV19" s="101"/>
      <c r="AW19" s="100"/>
      <c r="AX19" s="101"/>
      <c r="AY19" s="101"/>
      <c r="AZ19" s="101"/>
      <c r="BA19" s="101"/>
      <c r="BB19" s="100"/>
      <c r="BC19" s="100"/>
      <c r="BD19" s="101"/>
      <c r="BE19" s="101"/>
      <c r="BF19" s="101"/>
      <c r="BG19" s="101"/>
      <c r="BH19" s="100"/>
      <c r="BI19">
        <f t="shared" si="0"/>
        <v>17</v>
      </c>
      <c r="BJ19" s="2"/>
    </row>
    <row r="20" spans="1:62" x14ac:dyDescent="0.3">
      <c r="A20" s="102"/>
      <c r="B20" s="101"/>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0"/>
      <c r="AH20" s="101"/>
      <c r="AI20" s="101"/>
      <c r="AJ20" s="101"/>
      <c r="AK20" s="101"/>
      <c r="AL20" s="101"/>
      <c r="AM20" s="101"/>
      <c r="AN20" s="101"/>
      <c r="AO20" s="100"/>
      <c r="AP20" s="101"/>
      <c r="AQ20" s="101"/>
      <c r="AR20" s="101"/>
      <c r="AS20" s="101"/>
      <c r="AT20" s="101"/>
      <c r="AU20" s="101"/>
      <c r="AV20" s="101"/>
      <c r="AW20" s="100"/>
      <c r="AX20" s="101"/>
      <c r="AY20" s="101"/>
      <c r="AZ20" s="101"/>
      <c r="BA20" s="101"/>
      <c r="BB20" s="100"/>
      <c r="BC20" s="100"/>
      <c r="BD20" s="101"/>
      <c r="BE20" s="101"/>
      <c r="BF20" s="101"/>
      <c r="BG20" s="101"/>
      <c r="BH20" s="100"/>
      <c r="BI20">
        <f t="shared" si="0"/>
        <v>18</v>
      </c>
      <c r="BJ20" s="2"/>
    </row>
    <row r="21" spans="1:62" x14ac:dyDescent="0.3">
      <c r="A21" s="102"/>
      <c r="B21" s="101"/>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c r="AF21" s="101"/>
      <c r="AG21" s="100"/>
      <c r="AH21" s="101"/>
      <c r="AI21" s="101"/>
      <c r="AJ21" s="101"/>
      <c r="AK21" s="101"/>
      <c r="AL21" s="101"/>
      <c r="AM21" s="101"/>
      <c r="AN21" s="101"/>
      <c r="AO21" s="100"/>
      <c r="AP21" s="101"/>
      <c r="AQ21" s="101"/>
      <c r="AR21" s="101"/>
      <c r="AS21" s="101"/>
      <c r="AT21" s="101"/>
      <c r="AU21" s="101"/>
      <c r="AV21" s="101"/>
      <c r="AW21" s="100"/>
      <c r="AX21" s="101"/>
      <c r="AY21" s="101"/>
      <c r="AZ21" s="101"/>
      <c r="BA21" s="101"/>
      <c r="BB21" s="100"/>
      <c r="BC21" s="100"/>
      <c r="BD21" s="101"/>
      <c r="BE21" s="101"/>
      <c r="BF21" s="101"/>
      <c r="BG21" s="101"/>
      <c r="BH21" s="100"/>
      <c r="BI21">
        <f t="shared" si="0"/>
        <v>19</v>
      </c>
      <c r="BJ21" s="2"/>
    </row>
    <row r="22" spans="1:62" x14ac:dyDescent="0.3">
      <c r="A22" s="102"/>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0"/>
      <c r="AH22" s="101"/>
      <c r="AI22" s="101"/>
      <c r="AJ22" s="101"/>
      <c r="AK22" s="101"/>
      <c r="AL22" s="101"/>
      <c r="AM22" s="101"/>
      <c r="AN22" s="101"/>
      <c r="AO22" s="100"/>
      <c r="AP22" s="101"/>
      <c r="AQ22" s="101"/>
      <c r="AR22" s="101"/>
      <c r="AS22" s="101"/>
      <c r="AT22" s="101"/>
      <c r="AU22" s="101"/>
      <c r="AV22" s="101"/>
      <c r="AW22" s="100"/>
      <c r="AX22" s="101"/>
      <c r="AY22" s="101"/>
      <c r="AZ22" s="101"/>
      <c r="BA22" s="101"/>
      <c r="BB22" s="100"/>
      <c r="BC22" s="100"/>
      <c r="BD22" s="101"/>
      <c r="BE22" s="101"/>
      <c r="BF22" s="101"/>
      <c r="BG22" s="101"/>
      <c r="BH22" s="100"/>
      <c r="BI22">
        <f t="shared" si="0"/>
        <v>20</v>
      </c>
      <c r="BJ22" s="2"/>
    </row>
    <row r="23" spans="1:62" x14ac:dyDescent="0.3">
      <c r="A23" s="102"/>
      <c r="B23" s="101"/>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0"/>
      <c r="AH23" s="101"/>
      <c r="AI23" s="101"/>
      <c r="AJ23" s="101"/>
      <c r="AK23" s="101"/>
      <c r="AL23" s="101"/>
      <c r="AM23" s="101"/>
      <c r="AN23" s="101"/>
      <c r="AO23" s="100"/>
      <c r="AP23" s="101"/>
      <c r="AQ23" s="101"/>
      <c r="AR23" s="101"/>
      <c r="AS23" s="101"/>
      <c r="AT23" s="101"/>
      <c r="AU23" s="101"/>
      <c r="AV23" s="101"/>
      <c r="AW23" s="100"/>
      <c r="AX23" s="101"/>
      <c r="AY23" s="101"/>
      <c r="AZ23" s="101"/>
      <c r="BA23" s="101"/>
      <c r="BB23" s="100"/>
      <c r="BC23" s="100"/>
      <c r="BD23" s="101"/>
      <c r="BE23" s="101"/>
      <c r="BF23" s="101"/>
      <c r="BG23" s="101"/>
      <c r="BH23" s="100"/>
      <c r="BI23">
        <f t="shared" si="0"/>
        <v>21</v>
      </c>
      <c r="BJ23" s="2"/>
    </row>
    <row r="24" spans="1:62" x14ac:dyDescent="0.3">
      <c r="A24" s="102"/>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0"/>
      <c r="AH24" s="101"/>
      <c r="AI24" s="101"/>
      <c r="AJ24" s="101"/>
      <c r="AK24" s="101"/>
      <c r="AL24" s="101"/>
      <c r="AM24" s="101"/>
      <c r="AN24" s="101"/>
      <c r="AO24" s="100"/>
      <c r="AP24" s="101"/>
      <c r="AQ24" s="101"/>
      <c r="AR24" s="101"/>
      <c r="AS24" s="101"/>
      <c r="AT24" s="101"/>
      <c r="AU24" s="101"/>
      <c r="AV24" s="101"/>
      <c r="AW24" s="100"/>
      <c r="AX24" s="101"/>
      <c r="AY24" s="101"/>
      <c r="AZ24" s="101"/>
      <c r="BA24" s="101"/>
      <c r="BB24" s="100"/>
      <c r="BC24" s="100"/>
      <c r="BD24" s="101"/>
      <c r="BE24" s="101"/>
      <c r="BF24" s="101"/>
      <c r="BG24" s="101"/>
      <c r="BH24" s="100"/>
      <c r="BI24">
        <f t="shared" si="0"/>
        <v>22</v>
      </c>
      <c r="BJ24" s="2"/>
    </row>
    <row r="25" spans="1:62" x14ac:dyDescent="0.3">
      <c r="A25" s="102"/>
      <c r="B25" s="101"/>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0"/>
      <c r="AH25" s="101"/>
      <c r="AI25" s="101"/>
      <c r="AJ25" s="101"/>
      <c r="AK25" s="101"/>
      <c r="AL25" s="101"/>
      <c r="AM25" s="101"/>
      <c r="AN25" s="101"/>
      <c r="AO25" s="100"/>
      <c r="AP25" s="101"/>
      <c r="AQ25" s="101"/>
      <c r="AR25" s="101"/>
      <c r="AS25" s="101"/>
      <c r="AT25" s="101"/>
      <c r="AU25" s="101"/>
      <c r="AV25" s="101"/>
      <c r="AW25" s="100"/>
      <c r="AX25" s="101"/>
      <c r="AY25" s="101"/>
      <c r="AZ25" s="101"/>
      <c r="BA25" s="101"/>
      <c r="BB25" s="100"/>
      <c r="BC25" s="100"/>
      <c r="BD25" s="101"/>
      <c r="BE25" s="101"/>
      <c r="BF25" s="101"/>
      <c r="BG25" s="101"/>
      <c r="BH25" s="100"/>
      <c r="BI25">
        <f t="shared" si="0"/>
        <v>23</v>
      </c>
      <c r="BJ25" s="2"/>
    </row>
    <row r="26" spans="1:62" x14ac:dyDescent="0.3">
      <c r="A26" s="102"/>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0"/>
      <c r="AH26" s="101"/>
      <c r="AI26" s="101"/>
      <c r="AJ26" s="101"/>
      <c r="AK26" s="101"/>
      <c r="AL26" s="101"/>
      <c r="AM26" s="101"/>
      <c r="AN26" s="101"/>
      <c r="AO26" s="100"/>
      <c r="AP26" s="101"/>
      <c r="AQ26" s="101"/>
      <c r="AR26" s="101"/>
      <c r="AS26" s="101"/>
      <c r="AT26" s="101"/>
      <c r="AU26" s="101"/>
      <c r="AV26" s="101"/>
      <c r="AW26" s="100"/>
      <c r="AX26" s="101"/>
      <c r="AY26" s="101"/>
      <c r="AZ26" s="101"/>
      <c r="BA26" s="101"/>
      <c r="BB26" s="100"/>
      <c r="BC26" s="100"/>
      <c r="BD26" s="101"/>
      <c r="BE26" s="101"/>
      <c r="BF26" s="101"/>
      <c r="BG26" s="101"/>
      <c r="BH26" s="100"/>
      <c r="BI26">
        <f t="shared" si="0"/>
        <v>24</v>
      </c>
      <c r="BJ26" s="2"/>
    </row>
    <row r="27" spans="1:62" x14ac:dyDescent="0.3">
      <c r="A27" s="102"/>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0"/>
      <c r="AH27" s="101"/>
      <c r="AI27" s="101"/>
      <c r="AJ27" s="101"/>
      <c r="AK27" s="101"/>
      <c r="AL27" s="101"/>
      <c r="AM27" s="101"/>
      <c r="AN27" s="101"/>
      <c r="AO27" s="100"/>
      <c r="AP27" s="101"/>
      <c r="AQ27" s="101"/>
      <c r="AR27" s="101"/>
      <c r="AS27" s="101"/>
      <c r="AT27" s="101"/>
      <c r="AU27" s="101"/>
      <c r="AV27" s="101"/>
      <c r="AW27" s="100"/>
      <c r="AX27" s="101"/>
      <c r="AY27" s="101"/>
      <c r="AZ27" s="101"/>
      <c r="BA27" s="101"/>
      <c r="BB27" s="100"/>
      <c r="BC27" s="100"/>
      <c r="BD27" s="101"/>
      <c r="BE27" s="101"/>
      <c r="BF27" s="101"/>
      <c r="BG27" s="101"/>
      <c r="BH27" s="100"/>
      <c r="BI27">
        <f t="shared" si="0"/>
        <v>25</v>
      </c>
      <c r="BJ27" s="2"/>
    </row>
    <row r="28" spans="1:62" x14ac:dyDescent="0.3">
      <c r="A28" s="102"/>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0"/>
      <c r="AH28" s="101"/>
      <c r="AI28" s="101"/>
      <c r="AJ28" s="101"/>
      <c r="AK28" s="101"/>
      <c r="AL28" s="101"/>
      <c r="AM28" s="101"/>
      <c r="AN28" s="101"/>
      <c r="AO28" s="100"/>
      <c r="AP28" s="101"/>
      <c r="AQ28" s="101"/>
      <c r="AR28" s="101"/>
      <c r="AS28" s="101"/>
      <c r="AT28" s="101"/>
      <c r="AU28" s="101"/>
      <c r="AV28" s="101"/>
      <c r="AW28" s="100"/>
      <c r="AX28" s="101"/>
      <c r="AY28" s="101"/>
      <c r="AZ28" s="101"/>
      <c r="BA28" s="101"/>
      <c r="BB28" s="100"/>
      <c r="BC28" s="100"/>
      <c r="BD28" s="101"/>
      <c r="BE28" s="101"/>
      <c r="BF28" s="101"/>
      <c r="BG28" s="101"/>
      <c r="BH28" s="100"/>
      <c r="BI28">
        <f t="shared" si="0"/>
        <v>26</v>
      </c>
      <c r="BJ28" s="2"/>
    </row>
    <row r="29" spans="1:62" x14ac:dyDescent="0.3">
      <c r="A29" s="102"/>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0"/>
      <c r="AH29" s="101"/>
      <c r="AI29" s="101"/>
      <c r="AJ29" s="101"/>
      <c r="AK29" s="101"/>
      <c r="AL29" s="101"/>
      <c r="AM29" s="101"/>
      <c r="AN29" s="101"/>
      <c r="AO29" s="100"/>
      <c r="AP29" s="101"/>
      <c r="AQ29" s="101"/>
      <c r="AR29" s="101"/>
      <c r="AS29" s="101"/>
      <c r="AT29" s="101"/>
      <c r="AU29" s="101"/>
      <c r="AV29" s="101"/>
      <c r="AW29" s="100"/>
      <c r="AX29" s="101"/>
      <c r="AY29" s="101"/>
      <c r="AZ29" s="101"/>
      <c r="BA29" s="101"/>
      <c r="BB29" s="100"/>
      <c r="BC29" s="100"/>
      <c r="BD29" s="101"/>
      <c r="BE29" s="101"/>
      <c r="BF29" s="101"/>
      <c r="BG29" s="101"/>
      <c r="BH29" s="100"/>
      <c r="BI29">
        <f t="shared" si="0"/>
        <v>27</v>
      </c>
      <c r="BJ29" s="2"/>
    </row>
    <row r="30" spans="1:62" x14ac:dyDescent="0.3">
      <c r="A30" s="102"/>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0"/>
      <c r="AH30" s="101"/>
      <c r="AI30" s="101"/>
      <c r="AJ30" s="101"/>
      <c r="AK30" s="101"/>
      <c r="AL30" s="101"/>
      <c r="AM30" s="101"/>
      <c r="AN30" s="101"/>
      <c r="AO30" s="100"/>
      <c r="AP30" s="101"/>
      <c r="AQ30" s="101"/>
      <c r="AR30" s="101"/>
      <c r="AS30" s="101"/>
      <c r="AT30" s="101"/>
      <c r="AU30" s="101"/>
      <c r="AV30" s="101"/>
      <c r="AW30" s="100"/>
      <c r="AX30" s="101"/>
      <c r="AY30" s="101"/>
      <c r="AZ30" s="101"/>
      <c r="BA30" s="101"/>
      <c r="BB30" s="100"/>
      <c r="BC30" s="100"/>
      <c r="BD30" s="101"/>
      <c r="BE30" s="101"/>
      <c r="BF30" s="101"/>
      <c r="BG30" s="101"/>
      <c r="BH30" s="100"/>
      <c r="BI30">
        <f t="shared" si="0"/>
        <v>28</v>
      </c>
      <c r="BJ30" s="2"/>
    </row>
    <row r="31" spans="1:62" x14ac:dyDescent="0.3">
      <c r="A31" s="102"/>
      <c r="B31" s="101"/>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0"/>
      <c r="AH31" s="101"/>
      <c r="AI31" s="101"/>
      <c r="AJ31" s="101"/>
      <c r="AK31" s="101"/>
      <c r="AL31" s="101"/>
      <c r="AM31" s="101"/>
      <c r="AN31" s="101"/>
      <c r="AO31" s="100"/>
      <c r="AP31" s="101"/>
      <c r="AQ31" s="101"/>
      <c r="AR31" s="101"/>
      <c r="AS31" s="101"/>
      <c r="AT31" s="101"/>
      <c r="AU31" s="101"/>
      <c r="AV31" s="101"/>
      <c r="AW31" s="100"/>
      <c r="AX31" s="101"/>
      <c r="AY31" s="101"/>
      <c r="AZ31" s="101"/>
      <c r="BA31" s="101"/>
      <c r="BB31" s="100"/>
      <c r="BC31" s="100"/>
      <c r="BD31" s="101"/>
      <c r="BE31" s="101"/>
      <c r="BF31" s="101"/>
      <c r="BG31" s="101"/>
      <c r="BH31" s="100"/>
      <c r="BI31">
        <f t="shared" si="0"/>
        <v>29</v>
      </c>
      <c r="BJ31" s="2"/>
    </row>
    <row r="32" spans="1:62" x14ac:dyDescent="0.3">
      <c r="A32" s="102"/>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0"/>
      <c r="AH32" s="101"/>
      <c r="AI32" s="101"/>
      <c r="AJ32" s="101"/>
      <c r="AK32" s="101"/>
      <c r="AL32" s="101"/>
      <c r="AM32" s="101"/>
      <c r="AN32" s="101"/>
      <c r="AO32" s="100"/>
      <c r="AP32" s="101"/>
      <c r="AQ32" s="101"/>
      <c r="AR32" s="101"/>
      <c r="AS32" s="101"/>
      <c r="AT32" s="101"/>
      <c r="AU32" s="101"/>
      <c r="AV32" s="101"/>
      <c r="AW32" s="100"/>
      <c r="AX32" s="101"/>
      <c r="AY32" s="101"/>
      <c r="AZ32" s="101"/>
      <c r="BA32" s="101"/>
      <c r="BB32" s="100"/>
      <c r="BC32" s="100"/>
      <c r="BD32" s="101"/>
      <c r="BE32" s="101"/>
      <c r="BF32" s="101"/>
      <c r="BG32" s="101"/>
      <c r="BH32" s="100"/>
      <c r="BI32">
        <f t="shared" si="0"/>
        <v>30</v>
      </c>
      <c r="BJ32" s="2"/>
    </row>
    <row r="33" spans="1:62" x14ac:dyDescent="0.3">
      <c r="A33" s="102"/>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0"/>
      <c r="AH33" s="101"/>
      <c r="AI33" s="101"/>
      <c r="AJ33" s="101"/>
      <c r="AK33" s="101"/>
      <c r="AL33" s="101"/>
      <c r="AM33" s="101"/>
      <c r="AN33" s="101"/>
      <c r="AO33" s="100"/>
      <c r="AP33" s="101"/>
      <c r="AQ33" s="101"/>
      <c r="AR33" s="101"/>
      <c r="AS33" s="101"/>
      <c r="AT33" s="101"/>
      <c r="AU33" s="101"/>
      <c r="AV33" s="101"/>
      <c r="AW33" s="100"/>
      <c r="AX33" s="101"/>
      <c r="AY33" s="101"/>
      <c r="AZ33" s="101"/>
      <c r="BA33" s="101"/>
      <c r="BB33" s="100"/>
      <c r="BC33" s="100"/>
      <c r="BD33" s="101"/>
      <c r="BE33" s="101"/>
      <c r="BF33" s="101"/>
      <c r="BG33" s="101"/>
      <c r="BH33" s="100"/>
      <c r="BI33">
        <f t="shared" si="0"/>
        <v>31</v>
      </c>
      <c r="BJ33" s="2"/>
    </row>
    <row r="34" spans="1:62" x14ac:dyDescent="0.3">
      <c r="A34" s="102"/>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0"/>
      <c r="AH34" s="101"/>
      <c r="AI34" s="101"/>
      <c r="AJ34" s="101"/>
      <c r="AK34" s="101"/>
      <c r="AL34" s="101"/>
      <c r="AM34" s="101"/>
      <c r="AN34" s="101"/>
      <c r="AO34" s="100"/>
      <c r="AP34" s="101"/>
      <c r="AQ34" s="101"/>
      <c r="AR34" s="101"/>
      <c r="AS34" s="101"/>
      <c r="AT34" s="101"/>
      <c r="AU34" s="101"/>
      <c r="AV34" s="101"/>
      <c r="AW34" s="100"/>
      <c r="AX34" s="101"/>
      <c r="AY34" s="101"/>
      <c r="AZ34" s="101"/>
      <c r="BA34" s="101"/>
      <c r="BB34" s="100"/>
      <c r="BC34" s="100"/>
      <c r="BD34" s="101"/>
      <c r="BE34" s="101"/>
      <c r="BF34" s="101"/>
      <c r="BG34" s="101"/>
      <c r="BH34" s="100"/>
      <c r="BI34">
        <f t="shared" si="0"/>
        <v>32</v>
      </c>
      <c r="BJ34" s="2"/>
    </row>
    <row r="35" spans="1:62" x14ac:dyDescent="0.3">
      <c r="A35" s="102"/>
      <c r="B35" s="101"/>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0"/>
      <c r="AH35" s="101"/>
      <c r="AI35" s="101"/>
      <c r="AJ35" s="101"/>
      <c r="AK35" s="101"/>
      <c r="AL35" s="101"/>
      <c r="AM35" s="101"/>
      <c r="AN35" s="101"/>
      <c r="AO35" s="100"/>
      <c r="AP35" s="101"/>
      <c r="AQ35" s="101"/>
      <c r="AR35" s="101"/>
      <c r="AS35" s="101"/>
      <c r="AT35" s="101"/>
      <c r="AU35" s="101"/>
      <c r="AV35" s="101"/>
      <c r="AW35" s="100"/>
      <c r="AX35" s="101"/>
      <c r="AY35" s="101"/>
      <c r="AZ35" s="101"/>
      <c r="BA35" s="101"/>
      <c r="BB35" s="100"/>
      <c r="BC35" s="100"/>
      <c r="BD35" s="101"/>
      <c r="BE35" s="101"/>
      <c r="BF35" s="101"/>
      <c r="BG35" s="101"/>
      <c r="BH35" s="100"/>
      <c r="BI35">
        <f t="shared" si="0"/>
        <v>33</v>
      </c>
      <c r="BJ35" s="2"/>
    </row>
    <row r="36" spans="1:62" x14ac:dyDescent="0.3">
      <c r="A36" s="102"/>
      <c r="B36" s="101"/>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0"/>
      <c r="AH36" s="101"/>
      <c r="AI36" s="101"/>
      <c r="AJ36" s="101"/>
      <c r="AK36" s="101"/>
      <c r="AL36" s="101"/>
      <c r="AM36" s="101"/>
      <c r="AN36" s="101"/>
      <c r="AO36" s="100"/>
      <c r="AP36" s="101"/>
      <c r="AQ36" s="101"/>
      <c r="AR36" s="101"/>
      <c r="AS36" s="101"/>
      <c r="AT36" s="101"/>
      <c r="AU36" s="101"/>
      <c r="AV36" s="101"/>
      <c r="AW36" s="100"/>
      <c r="AX36" s="101"/>
      <c r="AY36" s="101"/>
      <c r="AZ36" s="101"/>
      <c r="BA36" s="101"/>
      <c r="BB36" s="100"/>
      <c r="BC36" s="100"/>
      <c r="BD36" s="101"/>
      <c r="BE36" s="101"/>
      <c r="BF36" s="101"/>
      <c r="BG36" s="101"/>
      <c r="BH36" s="100"/>
      <c r="BI36">
        <f t="shared" si="0"/>
        <v>34</v>
      </c>
      <c r="BJ36" s="2"/>
    </row>
    <row r="37" spans="1:62" x14ac:dyDescent="0.3">
      <c r="A37" s="102"/>
      <c r="B37" s="101"/>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0"/>
      <c r="AH37" s="101"/>
      <c r="AI37" s="101"/>
      <c r="AJ37" s="101"/>
      <c r="AK37" s="101"/>
      <c r="AL37" s="101"/>
      <c r="AM37" s="101"/>
      <c r="AN37" s="101"/>
      <c r="AO37" s="100"/>
      <c r="AP37" s="101"/>
      <c r="AQ37" s="101"/>
      <c r="AR37" s="101"/>
      <c r="AS37" s="101"/>
      <c r="AT37" s="101"/>
      <c r="AU37" s="101"/>
      <c r="AV37" s="101"/>
      <c r="AW37" s="100"/>
      <c r="AX37" s="101"/>
      <c r="AY37" s="101"/>
      <c r="AZ37" s="101"/>
      <c r="BA37" s="101"/>
      <c r="BB37" s="100"/>
      <c r="BC37" s="100"/>
      <c r="BD37" s="101"/>
      <c r="BE37" s="101"/>
      <c r="BF37" s="101"/>
      <c r="BG37" s="101"/>
      <c r="BH37" s="100"/>
      <c r="BI37">
        <f t="shared" si="0"/>
        <v>35</v>
      </c>
      <c r="BJ37" s="2"/>
    </row>
    <row r="38" spans="1:62" x14ac:dyDescent="0.3">
      <c r="A38" s="102"/>
      <c r="B38" s="101"/>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0"/>
      <c r="AH38" s="101"/>
      <c r="AI38" s="101"/>
      <c r="AJ38" s="101"/>
      <c r="AK38" s="101"/>
      <c r="AL38" s="101"/>
      <c r="AM38" s="101"/>
      <c r="AN38" s="101"/>
      <c r="AO38" s="100"/>
      <c r="AP38" s="101"/>
      <c r="AQ38" s="101"/>
      <c r="AR38" s="101"/>
      <c r="AS38" s="101"/>
      <c r="AT38" s="101"/>
      <c r="AU38" s="101"/>
      <c r="AV38" s="101"/>
      <c r="AW38" s="100"/>
      <c r="AX38" s="101"/>
      <c r="AY38" s="101"/>
      <c r="AZ38" s="101"/>
      <c r="BA38" s="101"/>
      <c r="BB38" s="100"/>
      <c r="BC38" s="100"/>
      <c r="BD38" s="101"/>
      <c r="BE38" s="101"/>
      <c r="BF38" s="101"/>
      <c r="BG38" s="101"/>
      <c r="BH38" s="100"/>
      <c r="BI38">
        <f t="shared" si="0"/>
        <v>36</v>
      </c>
      <c r="BJ38" s="2"/>
    </row>
    <row r="39" spans="1:62" x14ac:dyDescent="0.3">
      <c r="A39" s="102"/>
      <c r="B39" s="101"/>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0"/>
      <c r="AH39" s="101"/>
      <c r="AI39" s="101"/>
      <c r="AJ39" s="101"/>
      <c r="AK39" s="101"/>
      <c r="AL39" s="101"/>
      <c r="AM39" s="101"/>
      <c r="AN39" s="101"/>
      <c r="AO39" s="100"/>
      <c r="AP39" s="101"/>
      <c r="AQ39" s="101"/>
      <c r="AR39" s="101"/>
      <c r="AS39" s="101"/>
      <c r="AT39" s="101"/>
      <c r="AU39" s="101"/>
      <c r="AV39" s="101"/>
      <c r="AW39" s="100"/>
      <c r="AX39" s="101"/>
      <c r="AY39" s="101"/>
      <c r="AZ39" s="101"/>
      <c r="BA39" s="101"/>
      <c r="BB39" s="100"/>
      <c r="BC39" s="100"/>
      <c r="BD39" s="101"/>
      <c r="BE39" s="101"/>
      <c r="BF39" s="101"/>
      <c r="BG39" s="101"/>
      <c r="BH39" s="100"/>
      <c r="BI39">
        <f t="shared" si="0"/>
        <v>37</v>
      </c>
      <c r="BJ39" s="2"/>
    </row>
    <row r="40" spans="1:62" x14ac:dyDescent="0.3">
      <c r="A40" s="102"/>
      <c r="B40" s="101"/>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0"/>
      <c r="AH40" s="101"/>
      <c r="AI40" s="101"/>
      <c r="AJ40" s="101"/>
      <c r="AK40" s="101"/>
      <c r="AL40" s="101"/>
      <c r="AM40" s="101"/>
      <c r="AN40" s="101"/>
      <c r="AO40" s="100"/>
      <c r="AP40" s="101"/>
      <c r="AQ40" s="101"/>
      <c r="AR40" s="101"/>
      <c r="AS40" s="101"/>
      <c r="AT40" s="101"/>
      <c r="AU40" s="101"/>
      <c r="AV40" s="101"/>
      <c r="AW40" s="100"/>
      <c r="AX40" s="101"/>
      <c r="AY40" s="101"/>
      <c r="AZ40" s="101"/>
      <c r="BA40" s="101"/>
      <c r="BB40" s="100"/>
      <c r="BC40" s="100"/>
      <c r="BD40" s="101"/>
      <c r="BE40" s="101"/>
      <c r="BF40" s="101"/>
      <c r="BG40" s="101"/>
      <c r="BH40" s="100"/>
      <c r="BI40">
        <f t="shared" si="0"/>
        <v>38</v>
      </c>
      <c r="BJ40" s="2"/>
    </row>
    <row r="41" spans="1:62" x14ac:dyDescent="0.3">
      <c r="A41" s="102"/>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0"/>
      <c r="AH41" s="101"/>
      <c r="AI41" s="101"/>
      <c r="AJ41" s="101"/>
      <c r="AK41" s="101"/>
      <c r="AL41" s="101"/>
      <c r="AM41" s="101"/>
      <c r="AN41" s="101"/>
      <c r="AO41" s="100"/>
      <c r="AP41" s="101"/>
      <c r="AQ41" s="101"/>
      <c r="AR41" s="101"/>
      <c r="AS41" s="101"/>
      <c r="AT41" s="101"/>
      <c r="AU41" s="101"/>
      <c r="AV41" s="101"/>
      <c r="AW41" s="100"/>
      <c r="AX41" s="101"/>
      <c r="AY41" s="101"/>
      <c r="AZ41" s="101"/>
      <c r="BA41" s="101"/>
      <c r="BB41" s="100"/>
      <c r="BC41" s="100"/>
      <c r="BD41" s="101"/>
      <c r="BE41" s="101"/>
      <c r="BF41" s="101"/>
      <c r="BG41" s="101"/>
      <c r="BH41" s="100"/>
      <c r="BI41">
        <f t="shared" si="0"/>
        <v>39</v>
      </c>
      <c r="BJ41" s="2"/>
    </row>
    <row r="42" spans="1:62" x14ac:dyDescent="0.3">
      <c r="A42" s="102"/>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0"/>
      <c r="AH42" s="101"/>
      <c r="AI42" s="101"/>
      <c r="AJ42" s="101"/>
      <c r="AK42" s="101"/>
      <c r="AL42" s="101"/>
      <c r="AM42" s="101"/>
      <c r="AN42" s="101"/>
      <c r="AO42" s="100"/>
      <c r="AP42" s="101"/>
      <c r="AQ42" s="101"/>
      <c r="AR42" s="101"/>
      <c r="AS42" s="101"/>
      <c r="AT42" s="101"/>
      <c r="AU42" s="101"/>
      <c r="AV42" s="101"/>
      <c r="AW42" s="100"/>
      <c r="AX42" s="101"/>
      <c r="AY42" s="101"/>
      <c r="AZ42" s="101"/>
      <c r="BA42" s="101"/>
      <c r="BB42" s="100"/>
      <c r="BC42" s="100"/>
      <c r="BD42" s="101"/>
      <c r="BE42" s="101"/>
      <c r="BF42" s="101"/>
      <c r="BG42" s="101"/>
      <c r="BH42" s="100"/>
      <c r="BI42">
        <f t="shared" si="0"/>
        <v>40</v>
      </c>
      <c r="BJ42" s="2"/>
    </row>
    <row r="43" spans="1:62" x14ac:dyDescent="0.3">
      <c r="A43" s="102"/>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0"/>
      <c r="AH43" s="101"/>
      <c r="AI43" s="101"/>
      <c r="AJ43" s="101"/>
      <c r="AK43" s="101"/>
      <c r="AL43" s="101"/>
      <c r="AM43" s="101"/>
      <c r="AN43" s="101"/>
      <c r="AO43" s="100"/>
      <c r="AP43" s="101"/>
      <c r="AQ43" s="101"/>
      <c r="AR43" s="101"/>
      <c r="AS43" s="101"/>
      <c r="AT43" s="101"/>
      <c r="AU43" s="101"/>
      <c r="AV43" s="101"/>
      <c r="AW43" s="100"/>
      <c r="AX43" s="101"/>
      <c r="AY43" s="101"/>
      <c r="AZ43" s="101"/>
      <c r="BA43" s="101"/>
      <c r="BB43" s="100"/>
      <c r="BC43" s="100"/>
      <c r="BD43" s="101"/>
      <c r="BE43" s="101"/>
      <c r="BF43" s="101"/>
      <c r="BG43" s="101"/>
      <c r="BH43" s="100"/>
      <c r="BI43">
        <f t="shared" si="0"/>
        <v>41</v>
      </c>
      <c r="BJ43" s="2"/>
    </row>
    <row r="44" spans="1:62" x14ac:dyDescent="0.3">
      <c r="A44" s="102"/>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0"/>
      <c r="AH44" s="101"/>
      <c r="AI44" s="101"/>
      <c r="AJ44" s="101"/>
      <c r="AK44" s="101"/>
      <c r="AL44" s="101"/>
      <c r="AM44" s="101"/>
      <c r="AN44" s="101"/>
      <c r="AO44" s="100"/>
      <c r="AP44" s="101"/>
      <c r="AQ44" s="101"/>
      <c r="AR44" s="101"/>
      <c r="AS44" s="101"/>
      <c r="AT44" s="101"/>
      <c r="AU44" s="101"/>
      <c r="AV44" s="101"/>
      <c r="AW44" s="100"/>
      <c r="AX44" s="101"/>
      <c r="AY44" s="101"/>
      <c r="AZ44" s="101"/>
      <c r="BA44" s="101"/>
      <c r="BB44" s="100"/>
      <c r="BC44" s="100"/>
      <c r="BD44" s="101"/>
      <c r="BE44" s="101"/>
      <c r="BF44" s="101"/>
      <c r="BG44" s="101"/>
      <c r="BH44" s="100"/>
      <c r="BI44">
        <f t="shared" si="0"/>
        <v>42</v>
      </c>
      <c r="BJ44" s="2"/>
    </row>
    <row r="45" spans="1:62" x14ac:dyDescent="0.3">
      <c r="A45" s="102"/>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0"/>
      <c r="AH45" s="101"/>
      <c r="AI45" s="101"/>
      <c r="AJ45" s="101"/>
      <c r="AK45" s="101"/>
      <c r="AL45" s="101"/>
      <c r="AM45" s="101"/>
      <c r="AN45" s="101"/>
      <c r="AO45" s="100"/>
      <c r="AP45" s="101"/>
      <c r="AQ45" s="101"/>
      <c r="AR45" s="101"/>
      <c r="AS45" s="101"/>
      <c r="AT45" s="101"/>
      <c r="AU45" s="101"/>
      <c r="AV45" s="101"/>
      <c r="AW45" s="100"/>
      <c r="AX45" s="101"/>
      <c r="AY45" s="101"/>
      <c r="AZ45" s="101"/>
      <c r="BA45" s="101"/>
      <c r="BB45" s="100"/>
      <c r="BC45" s="100"/>
      <c r="BD45" s="101"/>
      <c r="BE45" s="101"/>
      <c r="BF45" s="101"/>
      <c r="BG45" s="101"/>
      <c r="BH45" s="100"/>
      <c r="BI45">
        <f t="shared" si="0"/>
        <v>43</v>
      </c>
      <c r="BJ45" s="2"/>
    </row>
    <row r="46" spans="1:62" x14ac:dyDescent="0.3">
      <c r="A46" s="99"/>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7"/>
      <c r="AH46" s="98"/>
      <c r="AI46" s="98"/>
      <c r="AJ46" s="98"/>
      <c r="AK46" s="98"/>
      <c r="AL46" s="98"/>
      <c r="AM46" s="98"/>
      <c r="AN46" s="98"/>
      <c r="AO46" s="97"/>
      <c r="AP46" s="98"/>
      <c r="AQ46" s="98"/>
      <c r="AR46" s="98"/>
      <c r="AS46" s="98"/>
      <c r="AT46" s="98"/>
      <c r="AU46" s="98"/>
      <c r="AV46" s="98"/>
      <c r="AW46" s="97"/>
      <c r="AX46" s="98"/>
      <c r="AY46" s="98"/>
      <c r="AZ46" s="98"/>
      <c r="BA46" s="98"/>
      <c r="BB46" s="97"/>
      <c r="BC46" s="97"/>
      <c r="BD46" s="98"/>
      <c r="BE46" s="98"/>
      <c r="BF46" s="98"/>
      <c r="BG46" s="98"/>
      <c r="BH46" s="97"/>
      <c r="BI46">
        <f t="shared" si="0"/>
        <v>44</v>
      </c>
      <c r="BJ46" s="2"/>
    </row>
    <row r="47" spans="1:62" x14ac:dyDescent="0.3">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row>
    <row r="48" spans="1:62" x14ac:dyDescent="0.3">
      <c r="A48" s="2"/>
      <c r="B48" s="49" t="s">
        <v>169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t="s">
        <v>118</v>
      </c>
      <c r="AH48" s="2"/>
      <c r="AI48" s="110" t="s">
        <v>168</v>
      </c>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row>
    <row r="49" spans="1:62" x14ac:dyDescent="0.3">
      <c r="A49" s="2"/>
      <c r="B49" s="49" t="s">
        <v>167</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49" t="s">
        <v>166</v>
      </c>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row>
    <row r="50" spans="1:62" x14ac:dyDescent="0.3">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row>
  </sheetData>
  <mergeCells count="11">
    <mergeCell ref="A9:BI9"/>
    <mergeCell ref="A12:BI12"/>
    <mergeCell ref="A2:BI2"/>
    <mergeCell ref="A4:BI4"/>
    <mergeCell ref="A3:BI3"/>
    <mergeCell ref="A6:BI6"/>
    <mergeCell ref="A5:BI5"/>
    <mergeCell ref="A7:BI7"/>
    <mergeCell ref="A8:BI8"/>
    <mergeCell ref="A10:BI10"/>
    <mergeCell ref="A11:BI11"/>
  </mergeCells>
  <hyperlinks>
    <hyperlink ref="AI48" r:id="rId1"/>
  </hyperlinks>
  <pageMargins left="0.7" right="0.7" top="0.75" bottom="0.75" header="0.3" footer="0.3"/>
  <pageSetup paperSize="9" orientation="portrait" verticalDpi="4294967295"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AG27"/>
  <sheetViews>
    <sheetView zoomScale="70" zoomScaleNormal="70" workbookViewId="0">
      <selection activeCell="H7" sqref="H7"/>
    </sheetView>
  </sheetViews>
  <sheetFormatPr defaultRowHeight="15" zeroHeight="1" x14ac:dyDescent="0.3"/>
  <cols>
    <col min="1" max="1" width="5.28515625" customWidth="1"/>
    <col min="2" max="2" width="20.28515625" customWidth="1"/>
    <col min="3" max="3" width="15.85546875" customWidth="1"/>
    <col min="4" max="4" width="15.28515625" customWidth="1"/>
    <col min="5" max="5" width="11" customWidth="1"/>
    <col min="6" max="6" width="15.42578125" customWidth="1"/>
    <col min="7" max="7" width="28.42578125" customWidth="1"/>
    <col min="8" max="8" width="19.7109375" customWidth="1"/>
    <col min="9" max="9" width="6.42578125" customWidth="1"/>
    <col min="15" max="15" width="2.85546875" customWidth="1"/>
    <col min="16" max="20" width="8.7109375" customWidth="1"/>
    <col min="21" max="21" width="3.140625" customWidth="1"/>
    <col min="22" max="26" width="8.7109375" customWidth="1"/>
    <col min="27" max="27" width="2.42578125" customWidth="1"/>
    <col min="28" max="32" width="8.7109375" customWidth="1"/>
    <col min="33" max="33" width="2.42578125" customWidth="1"/>
  </cols>
  <sheetData>
    <row r="1" spans="1:33" ht="18" x14ac:dyDescent="0.35">
      <c r="B1" s="37" t="s">
        <v>17</v>
      </c>
      <c r="E1" t="s">
        <v>140</v>
      </c>
      <c r="O1" s="38"/>
      <c r="P1" s="36" t="s">
        <v>96</v>
      </c>
      <c r="R1" s="17" t="s">
        <v>100</v>
      </c>
      <c r="U1" s="38"/>
      <c r="V1" s="36" t="s">
        <v>97</v>
      </c>
      <c r="X1" s="17" t="s">
        <v>100</v>
      </c>
      <c r="AA1" s="38"/>
      <c r="AB1" s="36" t="s">
        <v>98</v>
      </c>
      <c r="AE1" s="17" t="s">
        <v>18</v>
      </c>
      <c r="AG1" s="38"/>
    </row>
    <row r="2" spans="1:33" ht="15.75" thickBot="1" x14ac:dyDescent="0.35">
      <c r="B2" s="11" t="s">
        <v>18</v>
      </c>
      <c r="C2" s="11" t="s">
        <v>99</v>
      </c>
      <c r="D2" s="11" t="s">
        <v>19</v>
      </c>
      <c r="E2" s="11" t="s">
        <v>26</v>
      </c>
      <c r="F2" s="11" t="s">
        <v>20</v>
      </c>
      <c r="G2" s="11" t="s">
        <v>21</v>
      </c>
      <c r="H2" s="11"/>
      <c r="I2" s="11" t="s">
        <v>22</v>
      </c>
      <c r="O2" s="38"/>
      <c r="P2" s="47" t="str">
        <f>"&lt;"&amp;Q2</f>
        <v>&lt;0,000005</v>
      </c>
      <c r="Q2" s="39">
        <v>5.0000000000000004E-6</v>
      </c>
      <c r="R2" s="40">
        <v>5.0000000000000001E-4</v>
      </c>
      <c r="S2" s="41">
        <v>0.05</v>
      </c>
      <c r="T2" s="42">
        <v>5</v>
      </c>
      <c r="U2" s="38"/>
      <c r="V2" s="47" t="str">
        <f>"&lt;"&amp;W2</f>
        <v>&lt;0,0005</v>
      </c>
      <c r="W2" s="39">
        <v>5.0000000000000001E-4</v>
      </c>
      <c r="X2" s="40">
        <v>0.05</v>
      </c>
      <c r="Y2" s="41">
        <v>5</v>
      </c>
      <c r="Z2" s="42">
        <v>500</v>
      </c>
      <c r="AA2" s="38"/>
      <c r="AB2" s="47" t="str">
        <f>"&lt;"&amp;AC2</f>
        <v>&lt;0,01</v>
      </c>
      <c r="AC2" s="39">
        <v>0.01</v>
      </c>
      <c r="AD2" s="40">
        <v>1</v>
      </c>
      <c r="AE2" s="41">
        <v>100</v>
      </c>
      <c r="AF2" s="42">
        <v>10000</v>
      </c>
      <c r="AG2" s="38"/>
    </row>
    <row r="3" spans="1:33" ht="60" x14ac:dyDescent="0.3">
      <c r="A3" s="275" t="s">
        <v>37</v>
      </c>
      <c r="B3" s="13" t="s">
        <v>23</v>
      </c>
      <c r="C3" s="14">
        <v>0</v>
      </c>
      <c r="D3" s="12" t="s">
        <v>27</v>
      </c>
      <c r="E3" s="15">
        <v>1</v>
      </c>
      <c r="F3" s="12" t="s">
        <v>32</v>
      </c>
      <c r="G3" s="6" t="s">
        <v>95</v>
      </c>
      <c r="H3" s="6" t="s">
        <v>86</v>
      </c>
      <c r="I3" s="16">
        <v>5</v>
      </c>
      <c r="J3" s="25"/>
      <c r="K3" s="26"/>
      <c r="L3" s="26"/>
      <c r="M3" s="27"/>
      <c r="N3" s="28" t="s">
        <v>85</v>
      </c>
      <c r="P3" s="12">
        <f>0.1*$E$12*10^-2</f>
        <v>0.01</v>
      </c>
      <c r="Q3" s="12">
        <f>0.1*$E$13*10^-2</f>
        <v>0.1</v>
      </c>
      <c r="R3" s="45">
        <f>0.1*$E$14*10^-2</f>
        <v>1</v>
      </c>
      <c r="S3" s="45">
        <f>0.1*$E$15*10^-2</f>
        <v>10</v>
      </c>
      <c r="T3" s="45">
        <f>1*$E$15*10^-2</f>
        <v>100</v>
      </c>
      <c r="V3" s="45">
        <f>$E$12*10^-1</f>
        <v>1</v>
      </c>
      <c r="W3" s="45">
        <f>$E$13*10^-1</f>
        <v>10</v>
      </c>
      <c r="X3" s="45">
        <f>$E$14*10^-1</f>
        <v>100</v>
      </c>
      <c r="Y3" s="45">
        <f>$E$15*10^-1</f>
        <v>1000</v>
      </c>
      <c r="Z3" s="45">
        <f>10*$E$15*10^-1</f>
        <v>10000</v>
      </c>
      <c r="AB3" s="45">
        <f>((0+10)/2)/((0+1)/2)</f>
        <v>10</v>
      </c>
      <c r="AC3" s="45">
        <f>((10+100)/2)/((0+1)/2)</f>
        <v>110</v>
      </c>
      <c r="AD3" s="45">
        <f>((100+1000)/2)/((0+1)/2)</f>
        <v>1100</v>
      </c>
      <c r="AE3" s="45">
        <f>((1000+10000)/2)/((0+1)/2)</f>
        <v>11000</v>
      </c>
      <c r="AF3" s="45">
        <f>(10000*AVERAGE(5,5.5,5.5,5.5))/((0+1)/2)</f>
        <v>107500</v>
      </c>
    </row>
    <row r="4" spans="1:33" ht="60" x14ac:dyDescent="0.3">
      <c r="A4" s="275"/>
      <c r="B4" s="13" t="s">
        <v>24</v>
      </c>
      <c r="C4" s="14">
        <v>1</v>
      </c>
      <c r="D4" s="12" t="s">
        <v>28</v>
      </c>
      <c r="E4" s="15">
        <v>0.01</v>
      </c>
      <c r="F4" s="12" t="s">
        <v>33</v>
      </c>
      <c r="G4" s="6" t="s">
        <v>94</v>
      </c>
      <c r="H4" s="6" t="s">
        <v>87</v>
      </c>
      <c r="I4" s="16">
        <v>4</v>
      </c>
      <c r="J4" s="25"/>
      <c r="K4" s="25"/>
      <c r="L4" s="26"/>
      <c r="M4" s="26" t="s">
        <v>84</v>
      </c>
      <c r="N4" s="27"/>
      <c r="P4" s="12">
        <f>0.1*$E$12*10^-3</f>
        <v>1E-3</v>
      </c>
      <c r="Q4" s="12">
        <f>0.1*$E$13*10^-3</f>
        <v>0.01</v>
      </c>
      <c r="R4" s="12">
        <f>0.1*$E$14*10^-3</f>
        <v>0.1</v>
      </c>
      <c r="S4" s="45">
        <f>0.1*$E$15*10^-3</f>
        <v>1</v>
      </c>
      <c r="T4" s="45">
        <f>1*$E$15*10^-3</f>
        <v>10</v>
      </c>
      <c r="V4" s="43">
        <f>$E$12*10^-2</f>
        <v>0.1</v>
      </c>
      <c r="W4" s="45">
        <f>$E$13*10^-2</f>
        <v>1</v>
      </c>
      <c r="X4" s="45">
        <f>$E$14*10^-2</f>
        <v>10</v>
      </c>
      <c r="Y4" s="45">
        <f>$E$15*10^-2</f>
        <v>100</v>
      </c>
      <c r="Z4" s="45">
        <f>10*$E$15*10^-2</f>
        <v>1000</v>
      </c>
      <c r="AB4" s="44">
        <f>((0+10)/2)/((1+5)/2)</f>
        <v>1.6666666666666667</v>
      </c>
      <c r="AC4" s="45">
        <f>((10+100)/2)/((1+5)/2)</f>
        <v>18.333333333333332</v>
      </c>
      <c r="AD4" s="45">
        <f>((100+1000)/2)/((1+5)/2)</f>
        <v>183.33333333333334</v>
      </c>
      <c r="AE4" s="45">
        <f>((1000+10000)/2)/((1+5)/2)</f>
        <v>1833.3333333333333</v>
      </c>
      <c r="AF4" s="45">
        <f>(10000*AVERAGE(5,5.5,5.5,5.5))/((1+5)/2)</f>
        <v>17916.666666666668</v>
      </c>
    </row>
    <row r="5" spans="1:33" ht="75" x14ac:dyDescent="0.3">
      <c r="A5" s="275"/>
      <c r="B5" s="13" t="s">
        <v>25</v>
      </c>
      <c r="C5" s="14">
        <v>5</v>
      </c>
      <c r="D5" s="12" t="s">
        <v>29</v>
      </c>
      <c r="E5" s="15">
        <f>E4/10</f>
        <v>1E-3</v>
      </c>
      <c r="F5" s="12" t="s">
        <v>34</v>
      </c>
      <c r="G5" s="6" t="s">
        <v>93</v>
      </c>
      <c r="H5" s="6" t="s">
        <v>88</v>
      </c>
      <c r="I5" s="16">
        <v>3</v>
      </c>
      <c r="J5" s="29"/>
      <c r="K5" s="25"/>
      <c r="L5" s="25" t="s">
        <v>83</v>
      </c>
      <c r="M5" s="26"/>
      <c r="N5" s="26"/>
      <c r="P5" s="12">
        <f>0.1*$E$12*10^-4</f>
        <v>1E-4</v>
      </c>
      <c r="Q5" s="12">
        <f>0.1*$E$13*10^-4</f>
        <v>1E-3</v>
      </c>
      <c r="R5" s="12">
        <f>0.1*$E$14*10^-4</f>
        <v>0.01</v>
      </c>
      <c r="S5" s="12">
        <f>0.1*$E$15*10^-4</f>
        <v>0.1</v>
      </c>
      <c r="T5" s="45">
        <f>1*$E$15*10^-4</f>
        <v>1</v>
      </c>
      <c r="V5" s="43">
        <f>$E$12*10^-3</f>
        <v>0.01</v>
      </c>
      <c r="W5" s="43">
        <f>$E$13*10^-3</f>
        <v>0.1</v>
      </c>
      <c r="X5" s="45">
        <f>$E$14*10^-3</f>
        <v>1</v>
      </c>
      <c r="Y5" s="45">
        <f>$E$15*10^-3</f>
        <v>10</v>
      </c>
      <c r="Z5" s="45">
        <f>10*$E$15*10^-3</f>
        <v>100</v>
      </c>
      <c r="AB5" s="44">
        <f>((0+10)/2)/((5+25)/2)</f>
        <v>0.33333333333333331</v>
      </c>
      <c r="AC5" s="44">
        <f>((10+100)/2)/((5+25)/2)</f>
        <v>3.6666666666666665</v>
      </c>
      <c r="AD5" s="45">
        <f>((100+1000)/2)/((5+25)/2)</f>
        <v>36.666666666666664</v>
      </c>
      <c r="AE5" s="45">
        <f>((1000+10000)/2)/((5+25)/2)</f>
        <v>366.66666666666669</v>
      </c>
      <c r="AF5" s="45">
        <f>(10000*AVERAGE(5,5.5,5.5,5.5))/((5+25)/2)</f>
        <v>3583.3333333333335</v>
      </c>
    </row>
    <row r="6" spans="1:33" ht="75" x14ac:dyDescent="0.3">
      <c r="A6" s="275"/>
      <c r="B6" s="13" t="s">
        <v>123</v>
      </c>
      <c r="C6" s="14">
        <v>25</v>
      </c>
      <c r="D6" s="12" t="s">
        <v>30</v>
      </c>
      <c r="E6" s="15">
        <f>E5/10</f>
        <v>1E-4</v>
      </c>
      <c r="F6" s="12" t="s">
        <v>35</v>
      </c>
      <c r="G6" s="6" t="s">
        <v>92</v>
      </c>
      <c r="H6" s="6" t="s">
        <v>89</v>
      </c>
      <c r="I6" s="16">
        <v>2</v>
      </c>
      <c r="J6" s="29"/>
      <c r="K6" s="29" t="s">
        <v>82</v>
      </c>
      <c r="L6" s="25"/>
      <c r="M6" s="25"/>
      <c r="N6" s="26"/>
      <c r="P6" s="12">
        <f>0.1*$E$12*10^-5</f>
        <v>1.0000000000000001E-5</v>
      </c>
      <c r="Q6" s="12">
        <f>0.1*$E$13*10^-5</f>
        <v>1E-4</v>
      </c>
      <c r="R6" s="12">
        <f>0.1*$E$14*10^-5</f>
        <v>1E-3</v>
      </c>
      <c r="S6" s="12">
        <f>0.1*$E$15*10^-5</f>
        <v>0.01</v>
      </c>
      <c r="T6" s="12">
        <f>1*$E$15*10^-5</f>
        <v>0.1</v>
      </c>
      <c r="V6" s="43">
        <f>$E$12*10^-4</f>
        <v>1E-3</v>
      </c>
      <c r="W6" s="43">
        <f>$E$13*10^-4</f>
        <v>0.01</v>
      </c>
      <c r="X6" s="43">
        <f>$E$14*10^-4</f>
        <v>0.1</v>
      </c>
      <c r="Y6" s="45">
        <f>$E$15*10^-4</f>
        <v>1</v>
      </c>
      <c r="Z6" s="45">
        <f>10*$E$15*10^-4</f>
        <v>10</v>
      </c>
      <c r="AB6" s="72">
        <f>((0+10)/2)/((25+125)/2)</f>
        <v>6.6666666666666666E-2</v>
      </c>
      <c r="AC6" s="72">
        <f>((10+100)/2)/((25+125)/2)</f>
        <v>0.73333333333333328</v>
      </c>
      <c r="AD6" s="72">
        <f>((100+1000)/2)/((25+125)/2)</f>
        <v>7.333333333333333</v>
      </c>
      <c r="AE6" s="45">
        <f>((1000+10000)/2)/((25+125)/2)</f>
        <v>73.333333333333329</v>
      </c>
      <c r="AF6" s="45">
        <f>(10000*AVERAGE(5,5.5,5.5,5.5))/((25+125)/2)</f>
        <v>716.66666666666663</v>
      </c>
    </row>
    <row r="7" spans="1:33" ht="45" x14ac:dyDescent="0.3">
      <c r="A7" s="275"/>
      <c r="B7" s="13" t="s">
        <v>124</v>
      </c>
      <c r="C7" s="14">
        <v>125</v>
      </c>
      <c r="D7" s="12" t="s">
        <v>31</v>
      </c>
      <c r="E7" s="15">
        <f>E6/10</f>
        <v>1.0000000000000001E-5</v>
      </c>
      <c r="F7" s="12" t="s">
        <v>36</v>
      </c>
      <c r="G7" s="6" t="s">
        <v>91</v>
      </c>
      <c r="H7" s="6" t="s">
        <v>90</v>
      </c>
      <c r="I7" s="16">
        <v>1</v>
      </c>
      <c r="J7" s="30" t="s">
        <v>81</v>
      </c>
      <c r="K7" s="29"/>
      <c r="L7" s="29"/>
      <c r="M7" s="25"/>
      <c r="N7" s="25"/>
      <c r="P7" s="12">
        <f>0.1*$E$12*10^-6</f>
        <v>9.9999999999999995E-7</v>
      </c>
      <c r="Q7" s="12">
        <f>0.1*$E$13*10^-6</f>
        <v>9.9999999999999991E-6</v>
      </c>
      <c r="R7" s="12">
        <f>0.1*$E$14*10^-6</f>
        <v>9.9999999999999991E-5</v>
      </c>
      <c r="S7" s="12">
        <f>0.1*$E$15*10^-6</f>
        <v>1E-3</v>
      </c>
      <c r="T7" s="12">
        <f>1*$E$15*10^-6</f>
        <v>0.01</v>
      </c>
      <c r="V7" s="43">
        <f>$E$12*10^-5</f>
        <v>1E-4</v>
      </c>
      <c r="W7" s="43">
        <f>$E$13*10^-5</f>
        <v>1E-3</v>
      </c>
      <c r="X7" s="43">
        <f>$E$14*10^-5</f>
        <v>0.01</v>
      </c>
      <c r="Y7" s="43">
        <f>$E$15*10^-5</f>
        <v>0.1</v>
      </c>
      <c r="Z7" s="45">
        <f>10*$E$15*10^-5</f>
        <v>1</v>
      </c>
      <c r="AB7" s="72">
        <f>((0+10)/2)/(125*(AVERAGE(3/0.5,15/3,75/30)))</f>
        <v>8.8888888888888889E-3</v>
      </c>
      <c r="AC7" s="72">
        <f>((10+100)/2)/(125*(AVERAGE(3/0.5,15/3,75/30)))</f>
        <v>9.7777777777777783E-2</v>
      </c>
      <c r="AD7" s="72">
        <f>((100+1000)/2)/(125*(AVERAGE(3/0.5,15/3,75/30)))</f>
        <v>0.97777777777777775</v>
      </c>
      <c r="AE7" s="72">
        <f>((1000+10000)/2)/(125*(AVERAGE(3/0.5,15/3,75/30)))</f>
        <v>9.7777777777777786</v>
      </c>
      <c r="AF7" s="45">
        <f>(10000*AVERAGE(5,5.5,5.5,5.5))/(125*(AVERAGE(3/0.5,15/3,75/30)))</f>
        <v>95.555555555555557</v>
      </c>
    </row>
    <row r="8" spans="1:33" ht="18" x14ac:dyDescent="0.3">
      <c r="B8" s="17" t="s">
        <v>38</v>
      </c>
      <c r="I8" s="18"/>
      <c r="J8" s="19" t="s">
        <v>42</v>
      </c>
      <c r="K8" s="19" t="s">
        <v>43</v>
      </c>
      <c r="L8" s="19" t="s">
        <v>44</v>
      </c>
      <c r="M8" s="19" t="s">
        <v>45</v>
      </c>
      <c r="N8" s="19" t="s">
        <v>46</v>
      </c>
    </row>
    <row r="9" spans="1:33" x14ac:dyDescent="0.3">
      <c r="B9" s="7" t="s">
        <v>39</v>
      </c>
      <c r="I9" s="18"/>
      <c r="J9" s="18"/>
      <c r="K9" s="18"/>
      <c r="L9" s="18"/>
      <c r="M9" s="18"/>
      <c r="N9" s="18"/>
    </row>
    <row r="10" spans="1:33" x14ac:dyDescent="0.3">
      <c r="B10" s="7" t="s">
        <v>40</v>
      </c>
      <c r="I10" s="18"/>
      <c r="J10" s="18"/>
      <c r="K10" s="18"/>
      <c r="L10" s="18"/>
      <c r="M10" s="18"/>
      <c r="N10" s="18"/>
    </row>
    <row r="11" spans="1:33" ht="15.75" thickBot="1" x14ac:dyDescent="0.35">
      <c r="B11" s="5" t="s">
        <v>47</v>
      </c>
      <c r="C11" s="5" t="s">
        <v>48</v>
      </c>
      <c r="D11" s="5" t="s">
        <v>59</v>
      </c>
      <c r="E11" s="23" t="s">
        <v>65</v>
      </c>
      <c r="F11" s="23" t="s">
        <v>66</v>
      </c>
      <c r="G11" s="24" t="s">
        <v>72</v>
      </c>
      <c r="H11" s="24" t="s">
        <v>77</v>
      </c>
      <c r="I11" s="20"/>
      <c r="J11" s="18"/>
      <c r="K11" s="18"/>
      <c r="L11" s="18"/>
      <c r="M11" s="18"/>
      <c r="N11" s="18"/>
      <c r="Q11" s="284" t="s">
        <v>135</v>
      </c>
      <c r="R11" s="285"/>
      <c r="S11" s="285"/>
      <c r="T11" s="286"/>
    </row>
    <row r="12" spans="1:33" ht="48" customHeight="1" thickBot="1" x14ac:dyDescent="0.35">
      <c r="A12" s="275" t="s">
        <v>41</v>
      </c>
      <c r="B12" s="31" t="s">
        <v>49</v>
      </c>
      <c r="C12" s="74" t="s">
        <v>54</v>
      </c>
      <c r="D12" s="74" t="s">
        <v>60</v>
      </c>
      <c r="E12" s="32">
        <v>10</v>
      </c>
      <c r="F12" s="31" t="s">
        <v>67</v>
      </c>
      <c r="G12" s="31" t="s">
        <v>67</v>
      </c>
      <c r="H12" s="31" t="s">
        <v>67</v>
      </c>
      <c r="I12" s="21" t="s">
        <v>42</v>
      </c>
      <c r="J12" s="20"/>
      <c r="K12" s="18"/>
      <c r="L12" s="18"/>
      <c r="M12" s="18"/>
      <c r="N12" s="18"/>
      <c r="Q12" s="277" t="s">
        <v>127</v>
      </c>
      <c r="R12" s="278"/>
      <c r="S12" s="278"/>
      <c r="T12" s="278"/>
    </row>
    <row r="13" spans="1:33" ht="48" customHeight="1" thickBot="1" x14ac:dyDescent="0.35">
      <c r="A13" s="275"/>
      <c r="B13" s="33" t="s">
        <v>50</v>
      </c>
      <c r="C13" s="75" t="s">
        <v>55</v>
      </c>
      <c r="D13" s="75" t="s">
        <v>61</v>
      </c>
      <c r="E13" s="34">
        <v>100</v>
      </c>
      <c r="F13" s="33" t="s">
        <v>68</v>
      </c>
      <c r="G13" s="33" t="s">
        <v>73</v>
      </c>
      <c r="H13" s="33" t="s">
        <v>78</v>
      </c>
      <c r="I13" s="21" t="s">
        <v>43</v>
      </c>
      <c r="J13" s="22"/>
      <c r="K13" s="20"/>
      <c r="L13" s="18"/>
      <c r="M13" s="18"/>
      <c r="N13" s="18"/>
      <c r="Q13" s="279" t="s">
        <v>128</v>
      </c>
      <c r="R13" s="278"/>
      <c r="S13" s="278"/>
      <c r="T13" s="278"/>
    </row>
    <row r="14" spans="1:33" ht="48" customHeight="1" thickBot="1" x14ac:dyDescent="0.35">
      <c r="A14" s="275"/>
      <c r="B14" s="33" t="s">
        <v>51</v>
      </c>
      <c r="C14" s="75" t="s">
        <v>56</v>
      </c>
      <c r="D14" s="75" t="s">
        <v>62</v>
      </c>
      <c r="E14" s="34">
        <v>1000</v>
      </c>
      <c r="F14" s="33" t="s">
        <v>69</v>
      </c>
      <c r="G14" s="35" t="s">
        <v>74</v>
      </c>
      <c r="H14" s="35" t="s">
        <v>73</v>
      </c>
      <c r="I14" s="21" t="s">
        <v>44</v>
      </c>
      <c r="J14" s="22"/>
      <c r="K14" s="22"/>
      <c r="L14" s="20"/>
      <c r="M14" s="18"/>
      <c r="N14" s="18"/>
      <c r="Q14" s="280" t="s">
        <v>129</v>
      </c>
      <c r="R14" s="278"/>
      <c r="S14" s="278"/>
      <c r="T14" s="278"/>
    </row>
    <row r="15" spans="1:33" ht="48" customHeight="1" thickBot="1" x14ac:dyDescent="0.35">
      <c r="A15" s="275"/>
      <c r="B15" s="33" t="s">
        <v>52</v>
      </c>
      <c r="C15" s="75" t="s">
        <v>57</v>
      </c>
      <c r="D15" s="75" t="s">
        <v>63</v>
      </c>
      <c r="E15" s="34">
        <v>10000</v>
      </c>
      <c r="F15" s="33" t="s">
        <v>70</v>
      </c>
      <c r="G15" s="35" t="s">
        <v>75</v>
      </c>
      <c r="H15" s="35" t="s">
        <v>79</v>
      </c>
      <c r="I15" s="21" t="s">
        <v>45</v>
      </c>
      <c r="J15" s="22"/>
      <c r="K15" s="22"/>
      <c r="L15" s="22"/>
      <c r="M15" s="20"/>
      <c r="N15" s="18"/>
      <c r="Q15" s="281" t="s">
        <v>136</v>
      </c>
      <c r="R15" s="282"/>
      <c r="S15" s="282"/>
      <c r="T15" s="282"/>
    </row>
    <row r="16" spans="1:33" ht="48" customHeight="1" thickBot="1" x14ac:dyDescent="0.35">
      <c r="A16" s="275"/>
      <c r="B16" s="33" t="s">
        <v>53</v>
      </c>
      <c r="C16" s="75" t="s">
        <v>58</v>
      </c>
      <c r="D16" s="75" t="s">
        <v>64</v>
      </c>
      <c r="E16" s="73">
        <v>10000</v>
      </c>
      <c r="F16" s="33" t="s">
        <v>71</v>
      </c>
      <c r="G16" s="35" t="s">
        <v>76</v>
      </c>
      <c r="H16" s="35" t="s">
        <v>80</v>
      </c>
      <c r="I16" s="21" t="s">
        <v>46</v>
      </c>
      <c r="J16" s="22"/>
      <c r="K16" s="22"/>
      <c r="L16" s="22"/>
      <c r="M16" s="22"/>
      <c r="N16" s="20"/>
      <c r="Q16" s="283" t="s">
        <v>130</v>
      </c>
      <c r="R16" s="282"/>
      <c r="S16" s="282"/>
      <c r="T16" s="282"/>
    </row>
    <row r="17" spans="1:14" x14ac:dyDescent="0.3"/>
    <row r="18" spans="1:14" x14ac:dyDescent="0.3">
      <c r="B18" s="63" t="s">
        <v>101</v>
      </c>
    </row>
    <row r="19" spans="1:14" x14ac:dyDescent="0.3">
      <c r="B19" s="46" t="s">
        <v>125</v>
      </c>
      <c r="C19" s="4"/>
      <c r="D19" s="4"/>
      <c r="E19" s="4"/>
      <c r="F19" s="4"/>
      <c r="G19" s="4"/>
      <c r="H19" s="4"/>
      <c r="I19" s="4"/>
      <c r="J19" s="4"/>
      <c r="K19" s="4"/>
      <c r="L19" s="4"/>
      <c r="M19" s="4"/>
      <c r="N19" s="4"/>
    </row>
    <row r="20" spans="1:14" x14ac:dyDescent="0.3">
      <c r="B20" s="46" t="s">
        <v>126</v>
      </c>
    </row>
    <row r="21" spans="1:14" x14ac:dyDescent="0.3">
      <c r="B21" s="4" t="s">
        <v>131</v>
      </c>
    </row>
    <row r="22" spans="1:14" ht="17.25" x14ac:dyDescent="0.3">
      <c r="B22" s="4" t="s">
        <v>132</v>
      </c>
    </row>
    <row r="23" spans="1:14" x14ac:dyDescent="0.3">
      <c r="B23" s="4" t="s">
        <v>133</v>
      </c>
    </row>
    <row r="24" spans="1:14" ht="17.25" x14ac:dyDescent="0.3">
      <c r="B24" s="4" t="s">
        <v>134</v>
      </c>
    </row>
    <row r="25" spans="1:14" x14ac:dyDescent="0.3">
      <c r="B25" s="4" t="s">
        <v>142</v>
      </c>
    </row>
    <row r="26" spans="1:14" ht="15.75" thickBot="1" x14ac:dyDescent="0.35">
      <c r="A26" s="66" t="s">
        <v>119</v>
      </c>
      <c r="B26" s="67"/>
      <c r="C26" s="67"/>
      <c r="D26" s="67"/>
      <c r="E26" s="67"/>
      <c r="F26" s="67"/>
      <c r="G26" s="67"/>
      <c r="H26" s="67"/>
      <c r="I26" s="68"/>
    </row>
    <row r="27" spans="1:14" ht="108" customHeight="1" x14ac:dyDescent="0.3">
      <c r="A27" s="276" t="s">
        <v>141</v>
      </c>
      <c r="B27" s="276"/>
      <c r="C27" s="276"/>
      <c r="D27" s="276"/>
      <c r="E27" s="276"/>
      <c r="F27" s="276"/>
      <c r="G27" s="276"/>
      <c r="H27" s="276"/>
      <c r="I27" s="276"/>
    </row>
  </sheetData>
  <mergeCells count="9">
    <mergeCell ref="A3:A7"/>
    <mergeCell ref="A12:A16"/>
    <mergeCell ref="A27:I27"/>
    <mergeCell ref="Q12:T12"/>
    <mergeCell ref="Q13:T13"/>
    <mergeCell ref="Q14:T14"/>
    <mergeCell ref="Q15:T15"/>
    <mergeCell ref="Q16:T16"/>
    <mergeCell ref="Q11:T11"/>
  </mergeCells>
  <conditionalFormatting sqref="P3:T7">
    <cfRule type="cellIs" dxfId="17" priority="11" operator="greaterThanOrEqual">
      <formula>$T$2</formula>
    </cfRule>
    <cfRule type="cellIs" dxfId="16" priority="12" operator="greaterThanOrEqual">
      <formula>$S$2</formula>
    </cfRule>
    <cfRule type="cellIs" dxfId="15" priority="13" operator="greaterThanOrEqual">
      <formula>$R$2</formula>
    </cfRule>
    <cfRule type="cellIs" dxfId="14" priority="14" operator="greaterThanOrEqual">
      <formula>$Q$2</formula>
    </cfRule>
    <cfRule type="cellIs" dxfId="13" priority="15" operator="lessThan">
      <formula>$Q$2</formula>
    </cfRule>
  </conditionalFormatting>
  <conditionalFormatting sqref="V3:Z7">
    <cfRule type="cellIs" dxfId="12" priority="6" operator="greaterThanOrEqual">
      <formula>$Z$2</formula>
    </cfRule>
    <cfRule type="cellIs" dxfId="11" priority="7" operator="greaterThanOrEqual">
      <formula>$Y$2</formula>
    </cfRule>
    <cfRule type="cellIs" dxfId="10" priority="8" operator="greaterThanOrEqual">
      <formula>$X$2</formula>
    </cfRule>
    <cfRule type="cellIs" dxfId="9" priority="9" operator="greaterThanOrEqual">
      <formula>$W$2</formula>
    </cfRule>
    <cfRule type="cellIs" dxfId="8" priority="10" operator="lessThan">
      <formula>$W$2</formula>
    </cfRule>
  </conditionalFormatting>
  <conditionalFormatting sqref="AB3:AF7">
    <cfRule type="cellIs" dxfId="7" priority="1" operator="greaterThanOrEqual">
      <formula>$AF$2</formula>
    </cfRule>
    <cfRule type="cellIs" dxfId="6" priority="2" operator="greaterThanOrEqual">
      <formula>$AE$2</formula>
    </cfRule>
    <cfRule type="cellIs" dxfId="5" priority="3" operator="greaterThanOrEqual">
      <formula>$AD$2</formula>
    </cfRule>
    <cfRule type="cellIs" dxfId="4" priority="4" operator="greaterThanOrEqual">
      <formula>$AC$2</formula>
    </cfRule>
    <cfRule type="cellIs" dxfId="3" priority="5" operator="lessThan">
      <formula>$AC$2</formula>
    </cfRule>
  </conditionalFormatting>
  <dataValidations count="10">
    <dataValidation allowBlank="1" showInputMessage="1" showErrorMessage="1" promptTitle="Upper limit of PoF" prompt="Probability of failure; upper limit." sqref="E2"/>
    <dataValidation allowBlank="1" showInputMessage="1" showErrorMessage="1" promptTitle="Business effects (k€)" prompt="Upper limit on business effects." sqref="E11"/>
    <dataValidation allowBlank="1" showInputMessage="1" showErrorMessage="1" promptTitle="Probability of Failure" prompt="De laagste waarde (dus de kleinste kans) voor de POF wordt aangehouden met de laagste financiële waarde in een bereik._x000a_Deze tabel bevat dus de onderwaarde voor het risico." sqref="R1"/>
    <dataValidation allowBlank="1" showInputMessage="1" showErrorMessage="1" promptTitle="Probability of Failure" prompt="De hoogste waarde (dus de grootste kans) voor de POF wordt aangehouden met de hoogste financiële waarde in een bereik._x000a_Deze tabel bevat dus de bovengrens voor de waarde van het risico." sqref="X1"/>
    <dataValidation allowBlank="1" showInputMessage="1" showErrorMessage="1" promptTitle="Faalkans" prompt="Dit betreft de faalkans van een installatiedeel gedurende de hiervoor aangegeven tijd tot falen._x000a_Dit verondersteld dat het installatiedeel bijtijds wordt vervangen._x000a_Bij gebruik tot/met de levensduur is de faalkans 1/levensduur." sqref="D2"/>
    <dataValidation allowBlank="1" showInputMessage="1" showErrorMessage="1" promptTitle="MeanOperatingTimeBetweenFailure" prompt="MOTBF; Mean Operating Time Between Failure._x000a_Oftewel de gemiddelde tijd tussen het zich bij herhaling voor doen van een faalscenario._x000a_Door bijtijds te vervangen is de faalkans van toepassing." sqref="B2"/>
    <dataValidation allowBlank="1" showInputMessage="1" showErrorMessage="1" promptTitle="U_Limit (in jaren)" prompt="De onderste limiet in de grenzen, zoals genoemd bij de MOTBF._x000a_Dit kan in de operationele situatie beschouwd worden als de minimale restlevensduur op dát moment." sqref="C2"/>
    <dataValidation allowBlank="1" showInputMessage="1" showErrorMessage="1" promptTitle="Qualitative" prompt="De kwalitatieve omschrijving van de kans op het optreden van de bepaalde, ongewenste, gebeurtenis die bepalend is voor het aanwezige risico." sqref="F2"/>
    <dataValidation allowBlank="1" showInputMessage="1" showErrorMessage="1" promptTitle="Description:" prompt="De beschrijving van de wijze waarop vastgesteld kan worden of de waarschijnlijkheid van falen aanwezig is." sqref="G2"/>
    <dataValidation allowBlank="1" showInputMessage="1" showErrorMessage="1" promptTitle="Conditie norm vlgs EN 16991" prompt="Toestand: normstelling is overschreden; dus feitelijk faalt de installatie aangezien niet aan gestelde integriteitseisen wordt voldaan, is toegevoegd middels Categorie 6." sqref="I2"/>
  </dataValidations>
  <pageMargins left="0.70866141732283472" right="0.70866141732283472" top="1.3385826771653544" bottom="0.74803149606299213" header="0.31496062992125984" footer="0.31496062992125984"/>
  <pageSetup paperSize="9" scale="45" orientation="landscape" r:id="rId1"/>
  <headerFooter>
    <oddHeader>&amp;L&amp;G&amp;RWorld Class Maintenance project: Risk Based CUI Management.</oddHeader>
    <oddFooter>&amp;L&amp;9File / Tab: &amp;F / &amp;A&amp;C&amp;9Printdatum: &amp;D&amp;R&amp;9Bladzijde &amp;P van &amp;N.</oddFooter>
  </headerFooter>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sheetPr>
  <dimension ref="A1:AA46"/>
  <sheetViews>
    <sheetView zoomScale="70" zoomScaleNormal="70" workbookViewId="0">
      <selection activeCell="P36" sqref="P36"/>
    </sheetView>
  </sheetViews>
  <sheetFormatPr defaultColWidth="0" defaultRowHeight="15" zeroHeight="1" x14ac:dyDescent="0.3"/>
  <cols>
    <col min="1" max="1" width="4.5703125" customWidth="1"/>
    <col min="2" max="2" width="62.140625" customWidth="1"/>
    <col min="3" max="13" width="4.140625" customWidth="1"/>
    <col min="14" max="14" width="52.28515625" bestFit="1" customWidth="1"/>
    <col min="15" max="15" width="3.7109375" customWidth="1"/>
    <col min="16" max="16" width="8" customWidth="1"/>
    <col min="17" max="17" width="10.85546875" customWidth="1"/>
    <col min="18" max="18" width="12.140625" customWidth="1"/>
    <col min="19" max="19" width="31.5703125" customWidth="1"/>
    <col min="20" max="20" width="10" customWidth="1"/>
    <col min="21" max="21" width="31.5703125" customWidth="1"/>
    <col min="22" max="22" width="10" customWidth="1"/>
    <col min="23" max="23" width="31.5703125" customWidth="1"/>
    <col min="24" max="24" width="9.140625" customWidth="1"/>
    <col min="25" max="25" width="31.5703125" customWidth="1"/>
    <col min="26" max="26" width="20.5703125" customWidth="1"/>
    <col min="27" max="27" width="3.28515625" customWidth="1"/>
    <col min="28" max="16384" width="9.140625" hidden="1"/>
  </cols>
  <sheetData>
    <row r="1" spans="1:23" x14ac:dyDescent="0.3">
      <c r="A1" s="165" t="s">
        <v>260</v>
      </c>
      <c r="B1" s="166"/>
      <c r="C1" s="166"/>
      <c r="D1" s="166"/>
      <c r="E1" s="166"/>
      <c r="F1" s="166"/>
      <c r="G1" s="166"/>
      <c r="H1" s="166"/>
      <c r="I1" s="166"/>
      <c r="J1" s="166"/>
      <c r="K1" s="166"/>
      <c r="L1" s="166"/>
      <c r="M1" s="166"/>
      <c r="N1" s="166"/>
      <c r="O1" s="166"/>
      <c r="P1" s="166"/>
      <c r="Q1" s="166"/>
      <c r="R1" s="166"/>
    </row>
    <row r="2" spans="1:23" ht="15.75" thickBot="1" x14ac:dyDescent="0.35">
      <c r="B2" s="187" t="s">
        <v>285</v>
      </c>
      <c r="C2" s="327" t="s">
        <v>261</v>
      </c>
      <c r="D2" s="327"/>
      <c r="E2" s="327"/>
      <c r="F2" s="327"/>
      <c r="G2" s="327"/>
      <c r="H2" s="327"/>
      <c r="I2" s="327"/>
      <c r="J2" s="327"/>
      <c r="K2" s="327"/>
      <c r="L2" s="327"/>
      <c r="M2" s="327"/>
      <c r="N2" s="117" t="s">
        <v>388</v>
      </c>
      <c r="T2" s="190" t="s">
        <v>316</v>
      </c>
      <c r="U2" s="303" t="s">
        <v>317</v>
      </c>
      <c r="V2" s="304"/>
      <c r="W2" s="304"/>
    </row>
    <row r="3" spans="1:23" x14ac:dyDescent="0.3">
      <c r="B3" s="118" t="s">
        <v>262</v>
      </c>
      <c r="C3" s="271" t="s">
        <v>348</v>
      </c>
      <c r="D3" s="120"/>
      <c r="E3" s="120"/>
      <c r="F3" s="120"/>
      <c r="G3" s="120"/>
      <c r="H3" s="120"/>
      <c r="I3" s="120"/>
      <c r="J3" s="120"/>
      <c r="K3" s="121"/>
      <c r="L3" s="122"/>
      <c r="M3" s="122"/>
      <c r="N3" s="122"/>
      <c r="O3" s="164" t="str">
        <f>C3</f>
        <v>1)  Visuele inspectie met uitpakken.</v>
      </c>
      <c r="P3" t="s">
        <v>284</v>
      </c>
      <c r="T3" s="9" t="s">
        <v>318</v>
      </c>
      <c r="U3" s="13">
        <v>5</v>
      </c>
      <c r="V3" s="305" t="s">
        <v>319</v>
      </c>
      <c r="W3" s="306"/>
    </row>
    <row r="4" spans="1:23" x14ac:dyDescent="0.3">
      <c r="B4" s="316" t="s">
        <v>263</v>
      </c>
      <c r="C4" s="123"/>
      <c r="D4" s="124" t="s">
        <v>374</v>
      </c>
      <c r="E4" s="120"/>
      <c r="F4" s="120"/>
      <c r="G4" s="120"/>
      <c r="H4" s="120"/>
      <c r="I4" s="120"/>
      <c r="J4" s="120"/>
      <c r="K4" s="120"/>
      <c r="L4" s="121"/>
      <c r="M4" s="122"/>
      <c r="N4" s="122"/>
      <c r="O4" s="164" t="str">
        <f>D4</f>
        <v>2) On stream RT (Film)</v>
      </c>
      <c r="P4" t="s">
        <v>284</v>
      </c>
      <c r="T4" s="9" t="s">
        <v>320</v>
      </c>
      <c r="U4" s="12" t="s">
        <v>321</v>
      </c>
      <c r="V4" s="306"/>
      <c r="W4" s="306"/>
    </row>
    <row r="5" spans="1:23" x14ac:dyDescent="0.3">
      <c r="B5" s="316"/>
      <c r="C5" s="123"/>
      <c r="D5" s="123"/>
      <c r="E5" s="124" t="s">
        <v>375</v>
      </c>
      <c r="F5" s="120"/>
      <c r="G5" s="120"/>
      <c r="H5" s="120"/>
      <c r="I5" s="120"/>
      <c r="J5" s="120"/>
      <c r="K5" s="120"/>
      <c r="L5" s="120"/>
      <c r="M5" s="121"/>
      <c r="N5" s="122"/>
      <c r="O5" s="164" t="str">
        <f>E5</f>
        <v>3) On streamRT (digitaal)</v>
      </c>
      <c r="P5" t="s">
        <v>284</v>
      </c>
      <c r="T5" s="9" t="s">
        <v>322</v>
      </c>
      <c r="U5" s="13">
        <v>3</v>
      </c>
      <c r="V5" s="306"/>
      <c r="W5" s="306"/>
    </row>
    <row r="6" spans="1:23" x14ac:dyDescent="0.3">
      <c r="B6" s="316"/>
      <c r="C6" s="123"/>
      <c r="D6" s="123"/>
      <c r="E6" s="123"/>
      <c r="F6" s="125" t="s">
        <v>376</v>
      </c>
      <c r="G6" s="126"/>
      <c r="H6" s="126"/>
      <c r="I6" s="126"/>
      <c r="J6" s="126"/>
      <c r="K6" s="126"/>
      <c r="L6" s="126"/>
      <c r="M6" s="127"/>
      <c r="N6" s="122"/>
      <c r="O6" s="164" t="str">
        <f>F6</f>
        <v>4) Profile radiografie</v>
      </c>
      <c r="P6" t="s">
        <v>284</v>
      </c>
      <c r="T6" s="9" t="s">
        <v>323</v>
      </c>
      <c r="U6" s="13">
        <v>3</v>
      </c>
      <c r="V6" s="306"/>
      <c r="W6" s="306"/>
    </row>
    <row r="7" spans="1:23" x14ac:dyDescent="0.3">
      <c r="B7" s="316"/>
      <c r="C7" s="123"/>
      <c r="D7" s="123"/>
      <c r="E7" s="123"/>
      <c r="F7" s="128"/>
      <c r="G7" s="124" t="s">
        <v>377</v>
      </c>
      <c r="H7" s="120"/>
      <c r="I7" s="120"/>
      <c r="J7" s="120"/>
      <c r="K7" s="120"/>
      <c r="L7" s="120"/>
      <c r="M7" s="121"/>
      <c r="N7" s="122"/>
      <c r="O7" s="164" t="str">
        <f>G7</f>
        <v>5) Guided Waves / Long Range UT</v>
      </c>
      <c r="P7" t="s">
        <v>284</v>
      </c>
      <c r="T7" s="9" t="s">
        <v>324</v>
      </c>
      <c r="U7" s="13">
        <v>4</v>
      </c>
      <c r="V7" s="306"/>
      <c r="W7" s="306"/>
    </row>
    <row r="8" spans="1:23" x14ac:dyDescent="0.3">
      <c r="B8" s="316"/>
      <c r="C8" s="123"/>
      <c r="D8" s="123"/>
      <c r="E8" s="123"/>
      <c r="F8" s="128"/>
      <c r="G8" s="123"/>
      <c r="H8" s="124" t="s">
        <v>378</v>
      </c>
      <c r="I8" s="120"/>
      <c r="J8" s="120"/>
      <c r="K8" s="120"/>
      <c r="L8" s="120"/>
      <c r="M8" s="121"/>
      <c r="N8" s="122"/>
      <c r="O8" s="164" t="str">
        <f>H8</f>
        <v>6) PEC / PEC Array</v>
      </c>
      <c r="P8" t="s">
        <v>284</v>
      </c>
      <c r="T8" s="9" t="s">
        <v>325</v>
      </c>
      <c r="U8" s="13">
        <v>5</v>
      </c>
      <c r="V8" s="306"/>
      <c r="W8" s="306"/>
    </row>
    <row r="9" spans="1:23" x14ac:dyDescent="0.3">
      <c r="B9" s="316"/>
      <c r="C9" s="123"/>
      <c r="D9" s="123"/>
      <c r="E9" s="123"/>
      <c r="F9" s="128"/>
      <c r="G9" s="123"/>
      <c r="H9" s="123"/>
      <c r="I9" s="125" t="s">
        <v>379</v>
      </c>
      <c r="J9" s="126"/>
      <c r="K9" s="126"/>
      <c r="L9" s="126"/>
      <c r="M9" s="127"/>
      <c r="N9" s="122"/>
      <c r="O9" s="164" t="str">
        <f>I9</f>
        <v>7) In-line inspection (intelligent pigging)</v>
      </c>
      <c r="P9" t="s">
        <v>284</v>
      </c>
      <c r="T9" s="9" t="s">
        <v>326</v>
      </c>
      <c r="U9" s="13">
        <v>3</v>
      </c>
      <c r="V9" s="306"/>
      <c r="W9" s="306"/>
    </row>
    <row r="10" spans="1:23" x14ac:dyDescent="0.3">
      <c r="B10" s="316"/>
      <c r="C10" s="123"/>
      <c r="D10" s="123"/>
      <c r="E10" s="123"/>
      <c r="F10" s="128"/>
      <c r="G10" s="123"/>
      <c r="H10" s="123"/>
      <c r="I10" s="128"/>
      <c r="J10" s="124" t="s">
        <v>380</v>
      </c>
      <c r="K10" s="120"/>
      <c r="L10" s="120"/>
      <c r="M10" s="121"/>
      <c r="N10" s="122"/>
      <c r="O10" s="164" t="str">
        <f>J10</f>
        <v>8) Ultrasone wanddikte meting</v>
      </c>
      <c r="P10" t="s">
        <v>284</v>
      </c>
      <c r="U10" s="191" t="s">
        <v>327</v>
      </c>
    </row>
    <row r="11" spans="1:23" ht="15.75" thickBot="1" x14ac:dyDescent="0.35">
      <c r="B11" s="316"/>
      <c r="C11" s="123"/>
      <c r="D11" s="123"/>
      <c r="E11" s="123"/>
      <c r="F11" s="128"/>
      <c r="G11" s="123"/>
      <c r="H11" s="123"/>
      <c r="I11" s="128"/>
      <c r="J11" s="129"/>
      <c r="K11" s="119" t="s">
        <v>381</v>
      </c>
      <c r="L11" s="120"/>
      <c r="M11" s="121"/>
      <c r="N11" s="130"/>
      <c r="O11" s="164" t="str">
        <f>K11</f>
        <v>9) UT C-scan mapping</v>
      </c>
      <c r="P11" t="s">
        <v>284</v>
      </c>
      <c r="T11" s="192"/>
      <c r="U11" s="5" t="s">
        <v>12</v>
      </c>
      <c r="V11" s="5" t="s">
        <v>328</v>
      </c>
    </row>
    <row r="12" spans="1:23" x14ac:dyDescent="0.3">
      <c r="B12" s="316"/>
      <c r="C12" s="123"/>
      <c r="D12" s="123"/>
      <c r="E12" s="123"/>
      <c r="F12" s="128"/>
      <c r="G12" s="123"/>
      <c r="H12" s="123"/>
      <c r="I12" s="128"/>
      <c r="J12" s="129"/>
      <c r="K12" s="123"/>
      <c r="L12" s="124" t="s">
        <v>382</v>
      </c>
      <c r="M12" s="121"/>
      <c r="N12" s="131"/>
      <c r="O12" s="164" t="str">
        <f>L12</f>
        <v>10) Thermografie</v>
      </c>
      <c r="P12" t="s">
        <v>284</v>
      </c>
      <c r="T12" s="307" t="s">
        <v>330</v>
      </c>
      <c r="U12" s="13">
        <v>1</v>
      </c>
      <c r="V12" s="193">
        <v>0.1</v>
      </c>
    </row>
    <row r="13" spans="1:23" ht="15.75" thickBot="1" x14ac:dyDescent="0.35">
      <c r="B13" s="316"/>
      <c r="C13" s="123"/>
      <c r="D13" s="123"/>
      <c r="E13" s="123"/>
      <c r="F13" s="128"/>
      <c r="G13" s="123"/>
      <c r="H13" s="123"/>
      <c r="I13" s="128"/>
      <c r="J13" s="129"/>
      <c r="K13" s="123"/>
      <c r="L13" s="123"/>
      <c r="M13" s="262" t="s">
        <v>264</v>
      </c>
      <c r="N13" s="132"/>
      <c r="O13" s="164" t="str">
        <f>M13</f>
        <v>11) 	Neuron Backscatter (tbv vochtdetectie)</v>
      </c>
      <c r="P13" t="s">
        <v>284</v>
      </c>
      <c r="T13" s="308"/>
      <c r="U13" s="13">
        <v>2</v>
      </c>
      <c r="V13" s="193">
        <v>0.25</v>
      </c>
    </row>
    <row r="14" spans="1:23" ht="15.75" thickBot="1" x14ac:dyDescent="0.35">
      <c r="B14" s="133" t="s">
        <v>265</v>
      </c>
      <c r="C14" s="134"/>
      <c r="D14" s="134"/>
      <c r="E14" s="134"/>
      <c r="F14" s="135"/>
      <c r="G14" s="134"/>
      <c r="H14" s="134"/>
      <c r="I14" s="135"/>
      <c r="J14" s="134"/>
      <c r="K14" s="134"/>
      <c r="L14" s="134"/>
      <c r="M14" s="134"/>
      <c r="N14" s="136" t="s">
        <v>266</v>
      </c>
      <c r="P14" s="309" t="s">
        <v>280</v>
      </c>
      <c r="Q14" s="310"/>
      <c r="R14" s="311"/>
      <c r="T14" s="308"/>
      <c r="U14" s="13">
        <v>3</v>
      </c>
      <c r="V14" s="193">
        <v>0.5</v>
      </c>
    </row>
    <row r="15" spans="1:23" ht="15.75" thickBot="1" x14ac:dyDescent="0.35">
      <c r="B15" s="137" t="s">
        <v>367</v>
      </c>
      <c r="C15" s="263" t="s">
        <v>42</v>
      </c>
      <c r="D15" s="139" t="s">
        <v>43</v>
      </c>
      <c r="E15" s="139" t="s">
        <v>43</v>
      </c>
      <c r="F15" s="140" t="s">
        <v>43</v>
      </c>
      <c r="G15" s="139" t="s">
        <v>44</v>
      </c>
      <c r="H15" s="139" t="s">
        <v>44</v>
      </c>
      <c r="I15" s="140" t="s">
        <v>43</v>
      </c>
      <c r="J15" s="139" t="s">
        <v>42</v>
      </c>
      <c r="K15" s="263" t="s">
        <v>43</v>
      </c>
      <c r="L15" s="141" t="s">
        <v>45</v>
      </c>
      <c r="M15" s="138" t="s">
        <v>45</v>
      </c>
      <c r="N15" s="142"/>
      <c r="P15" s="155" t="s">
        <v>281</v>
      </c>
      <c r="Q15" s="158" t="s">
        <v>282</v>
      </c>
      <c r="R15" s="159" t="s">
        <v>283</v>
      </c>
      <c r="T15" s="308"/>
      <c r="U15" s="13">
        <v>4</v>
      </c>
      <c r="V15" s="193">
        <v>0.75</v>
      </c>
    </row>
    <row r="16" spans="1:23" x14ac:dyDescent="0.3">
      <c r="B16" s="137" t="s">
        <v>368</v>
      </c>
      <c r="C16" s="264" t="s">
        <v>42</v>
      </c>
      <c r="D16" s="144" t="s">
        <v>42</v>
      </c>
      <c r="E16" s="144" t="s">
        <v>42</v>
      </c>
      <c r="F16" s="145" t="s">
        <v>43</v>
      </c>
      <c r="G16" s="144" t="s">
        <v>44</v>
      </c>
      <c r="H16" s="144" t="s">
        <v>44</v>
      </c>
      <c r="I16" s="145" t="s">
        <v>43</v>
      </c>
      <c r="J16" s="144" t="s">
        <v>42</v>
      </c>
      <c r="K16" s="264" t="s">
        <v>42</v>
      </c>
      <c r="L16" s="146" t="s">
        <v>45</v>
      </c>
      <c r="M16" s="143" t="s">
        <v>45</v>
      </c>
      <c r="N16" s="142"/>
      <c r="P16" s="156" t="s">
        <v>42</v>
      </c>
      <c r="Q16" s="161">
        <v>0.99</v>
      </c>
      <c r="R16" s="160">
        <v>1</v>
      </c>
      <c r="T16" s="308"/>
      <c r="U16" s="13">
        <v>5</v>
      </c>
      <c r="V16" s="193">
        <v>1</v>
      </c>
    </row>
    <row r="17" spans="2:26" ht="15" customHeight="1" x14ac:dyDescent="0.3">
      <c r="B17" s="137" t="s">
        <v>369</v>
      </c>
      <c r="C17" s="264" t="s">
        <v>42</v>
      </c>
      <c r="D17" s="144" t="s">
        <v>42</v>
      </c>
      <c r="E17" s="144" t="s">
        <v>42</v>
      </c>
      <c r="F17" s="145" t="s">
        <v>43</v>
      </c>
      <c r="G17" s="144" t="s">
        <v>45</v>
      </c>
      <c r="H17" s="144" t="s">
        <v>43</v>
      </c>
      <c r="I17" s="145" t="s">
        <v>46</v>
      </c>
      <c r="J17" s="144" t="s">
        <v>46</v>
      </c>
      <c r="K17" s="264" t="s">
        <v>42</v>
      </c>
      <c r="L17" s="146" t="s">
        <v>46</v>
      </c>
      <c r="M17" s="143" t="s">
        <v>45</v>
      </c>
      <c r="N17" s="142"/>
      <c r="P17" s="156" t="s">
        <v>43</v>
      </c>
      <c r="Q17" s="161">
        <v>0.9</v>
      </c>
      <c r="R17" s="160">
        <v>0.65</v>
      </c>
      <c r="T17" s="273" t="s">
        <v>329</v>
      </c>
      <c r="U17" s="273"/>
      <c r="V17" s="273"/>
    </row>
    <row r="18" spans="2:26" x14ac:dyDescent="0.3">
      <c r="B18" s="137" t="s">
        <v>370</v>
      </c>
      <c r="C18" s="264" t="s">
        <v>45</v>
      </c>
      <c r="D18" s="144" t="s">
        <v>43</v>
      </c>
      <c r="E18" s="144" t="s">
        <v>42</v>
      </c>
      <c r="F18" s="145" t="s">
        <v>44</v>
      </c>
      <c r="G18" s="144" t="s">
        <v>44</v>
      </c>
      <c r="H18" s="144" t="s">
        <v>46</v>
      </c>
      <c r="I18" s="145" t="s">
        <v>42</v>
      </c>
      <c r="J18" s="144" t="s">
        <v>46</v>
      </c>
      <c r="K18" s="264" t="s">
        <v>46</v>
      </c>
      <c r="L18" s="146" t="s">
        <v>45</v>
      </c>
      <c r="M18" s="143" t="s">
        <v>46</v>
      </c>
      <c r="N18" s="142"/>
      <c r="P18" s="156" t="s">
        <v>44</v>
      </c>
      <c r="Q18" s="161">
        <v>0.7</v>
      </c>
      <c r="R18" s="160">
        <v>0.35</v>
      </c>
      <c r="T18" s="273"/>
      <c r="U18" s="273"/>
      <c r="V18" s="273"/>
    </row>
    <row r="19" spans="2:26" x14ac:dyDescent="0.3">
      <c r="B19" s="137" t="s">
        <v>371</v>
      </c>
      <c r="C19" s="264" t="s">
        <v>42</v>
      </c>
      <c r="D19" s="144" t="s">
        <v>43</v>
      </c>
      <c r="E19" s="144" t="s">
        <v>43</v>
      </c>
      <c r="F19" s="145" t="s">
        <v>43</v>
      </c>
      <c r="G19" s="144" t="s">
        <v>42</v>
      </c>
      <c r="H19" s="144" t="s">
        <v>43</v>
      </c>
      <c r="I19" s="145" t="s">
        <v>42</v>
      </c>
      <c r="J19" s="144" t="s">
        <v>42</v>
      </c>
      <c r="K19" s="264" t="s">
        <v>42</v>
      </c>
      <c r="L19" s="146" t="s">
        <v>44</v>
      </c>
      <c r="M19" s="143" t="s">
        <v>45</v>
      </c>
      <c r="N19" s="142" t="s">
        <v>267</v>
      </c>
      <c r="P19" s="156" t="s">
        <v>45</v>
      </c>
      <c r="Q19" s="161">
        <v>0.3</v>
      </c>
      <c r="R19" s="160">
        <v>0.05</v>
      </c>
    </row>
    <row r="20" spans="2:26" ht="15.75" thickBot="1" x14ac:dyDescent="0.35">
      <c r="B20" s="147" t="s">
        <v>372</v>
      </c>
      <c r="C20" s="264" t="s">
        <v>42</v>
      </c>
      <c r="D20" s="144" t="s">
        <v>42</v>
      </c>
      <c r="E20" s="144" t="s">
        <v>42</v>
      </c>
      <c r="F20" s="145" t="s">
        <v>42</v>
      </c>
      <c r="G20" s="144" t="s">
        <v>42</v>
      </c>
      <c r="H20" s="144" t="s">
        <v>43</v>
      </c>
      <c r="I20" s="145" t="s">
        <v>42</v>
      </c>
      <c r="J20" s="144" t="s">
        <v>42</v>
      </c>
      <c r="K20" s="264" t="s">
        <v>42</v>
      </c>
      <c r="L20" s="146" t="s">
        <v>44</v>
      </c>
      <c r="M20" s="143" t="s">
        <v>45</v>
      </c>
      <c r="N20" s="142"/>
      <c r="P20" s="157" t="s">
        <v>46</v>
      </c>
      <c r="Q20" s="162">
        <v>0</v>
      </c>
      <c r="R20" s="163"/>
    </row>
    <row r="21" spans="2:26" x14ac:dyDescent="0.3">
      <c r="B21" s="261" t="s">
        <v>373</v>
      </c>
      <c r="C21" s="328" t="s">
        <v>268</v>
      </c>
      <c r="D21" s="329"/>
      <c r="E21" s="329"/>
      <c r="F21" s="329"/>
      <c r="G21" s="329"/>
      <c r="H21" s="329"/>
      <c r="I21" s="329"/>
      <c r="J21" s="329"/>
      <c r="K21" s="329"/>
      <c r="L21" s="329"/>
      <c r="M21" s="330"/>
      <c r="N21" s="148"/>
    </row>
    <row r="22" spans="2:26" ht="30" customHeight="1" thickBot="1" x14ac:dyDescent="0.35">
      <c r="B22" s="149" t="s">
        <v>269</v>
      </c>
      <c r="C22" s="150"/>
      <c r="D22" s="150"/>
      <c r="E22" s="150"/>
      <c r="F22" s="151"/>
      <c r="G22" s="150"/>
      <c r="H22" s="150"/>
      <c r="I22" s="151"/>
      <c r="J22" s="150"/>
      <c r="K22" s="150"/>
      <c r="L22" s="150"/>
      <c r="M22" s="331" t="s">
        <v>383</v>
      </c>
      <c r="N22" s="332"/>
    </row>
    <row r="23" spans="2:26" ht="30.75" thickBot="1" x14ac:dyDescent="0.35">
      <c r="B23" s="152" t="s">
        <v>270</v>
      </c>
      <c r="C23" s="153"/>
      <c r="D23" s="153"/>
      <c r="E23" s="153"/>
      <c r="F23" s="154"/>
      <c r="G23" s="153"/>
      <c r="H23" s="153"/>
      <c r="I23" s="154"/>
      <c r="J23" s="153"/>
      <c r="K23" s="153"/>
      <c r="L23" s="333" t="s">
        <v>271</v>
      </c>
      <c r="M23" s="313"/>
      <c r="N23" s="313"/>
      <c r="Q23" s="319" t="s">
        <v>335</v>
      </c>
      <c r="R23" s="320"/>
      <c r="S23" s="201" t="s">
        <v>336</v>
      </c>
      <c r="T23" s="202">
        <v>-273</v>
      </c>
      <c r="U23" s="203">
        <v>-4</v>
      </c>
      <c r="V23" s="204">
        <v>10</v>
      </c>
      <c r="W23" s="203">
        <v>50</v>
      </c>
      <c r="X23" s="205">
        <v>80</v>
      </c>
      <c r="Y23" s="204">
        <v>120</v>
      </c>
      <c r="Z23" s="206">
        <v>175</v>
      </c>
    </row>
    <row r="24" spans="2:26" x14ac:dyDescent="0.3">
      <c r="B24" s="152" t="s">
        <v>272</v>
      </c>
      <c r="C24" s="153"/>
      <c r="D24" s="153"/>
      <c r="E24" s="153"/>
      <c r="F24" s="154"/>
      <c r="G24" s="153"/>
      <c r="H24" s="153"/>
      <c r="I24" s="154"/>
      <c r="J24" s="153"/>
      <c r="K24" s="317"/>
      <c r="L24" s="318"/>
      <c r="M24" s="318"/>
      <c r="N24" s="318"/>
      <c r="Q24" s="321" t="s">
        <v>104</v>
      </c>
      <c r="R24" s="322"/>
      <c r="S24" s="207">
        <v>0</v>
      </c>
      <c r="T24" s="208">
        <v>0</v>
      </c>
      <c r="U24" s="209">
        <v>0.3</v>
      </c>
      <c r="V24" s="210">
        <v>0.1</v>
      </c>
      <c r="W24" s="209">
        <v>0.3</v>
      </c>
      <c r="X24" s="209">
        <v>0.3</v>
      </c>
      <c r="Y24" s="210">
        <v>0.1</v>
      </c>
      <c r="Z24" s="211">
        <v>0</v>
      </c>
    </row>
    <row r="25" spans="2:26" ht="45" x14ac:dyDescent="0.3">
      <c r="B25" s="152" t="s">
        <v>273</v>
      </c>
      <c r="C25" s="153"/>
      <c r="D25" s="153"/>
      <c r="E25" s="153"/>
      <c r="F25" s="154"/>
      <c r="G25" s="153"/>
      <c r="H25" s="153"/>
      <c r="I25" s="154"/>
      <c r="J25" s="312"/>
      <c r="K25" s="313"/>
      <c r="L25" s="313"/>
      <c r="M25" s="313"/>
      <c r="N25" s="313"/>
      <c r="Q25" s="323"/>
      <c r="R25" s="324"/>
      <c r="S25" s="212">
        <v>10</v>
      </c>
      <c r="T25" s="213">
        <v>0</v>
      </c>
      <c r="U25" s="214">
        <v>0.3</v>
      </c>
      <c r="V25" s="214">
        <v>0.3</v>
      </c>
      <c r="W25" s="214">
        <v>0.3</v>
      </c>
      <c r="X25" s="215">
        <v>0.5</v>
      </c>
      <c r="Y25" s="214">
        <v>0.3</v>
      </c>
      <c r="Z25" s="216">
        <v>0</v>
      </c>
    </row>
    <row r="26" spans="2:26" ht="15.75" thickBot="1" x14ac:dyDescent="0.35">
      <c r="B26" s="149" t="s">
        <v>274</v>
      </c>
      <c r="C26" s="153"/>
      <c r="D26" s="153"/>
      <c r="E26" s="153"/>
      <c r="F26" s="154"/>
      <c r="G26" s="153"/>
      <c r="H26" s="153"/>
      <c r="I26" s="314"/>
      <c r="J26" s="315"/>
      <c r="K26" s="315"/>
      <c r="L26" s="315"/>
      <c r="M26" s="315"/>
      <c r="N26" s="315"/>
      <c r="Q26" s="325"/>
      <c r="R26" s="326"/>
      <c r="S26" s="217">
        <v>100</v>
      </c>
      <c r="T26" s="218">
        <v>0</v>
      </c>
      <c r="U26" s="219">
        <v>0.5</v>
      </c>
      <c r="V26" s="220">
        <v>0.3</v>
      </c>
      <c r="W26" s="219">
        <v>0.5</v>
      </c>
      <c r="X26" s="221">
        <v>0.7</v>
      </c>
      <c r="Y26" s="220">
        <v>0.3</v>
      </c>
      <c r="Z26" s="222">
        <v>0</v>
      </c>
    </row>
    <row r="27" spans="2:26" ht="15.75" thickBot="1" x14ac:dyDescent="0.35">
      <c r="B27" s="316" t="s">
        <v>275</v>
      </c>
      <c r="C27" s="153"/>
      <c r="D27" s="153"/>
      <c r="E27" s="153"/>
      <c r="F27" s="154"/>
      <c r="G27" s="153"/>
      <c r="H27" s="312"/>
      <c r="I27" s="313"/>
      <c r="J27" s="313"/>
      <c r="K27" s="313"/>
      <c r="L27" s="313"/>
      <c r="M27" s="313"/>
      <c r="N27" s="313"/>
      <c r="R27" s="195"/>
      <c r="S27" s="196"/>
      <c r="T27" s="197"/>
      <c r="U27" s="197"/>
      <c r="V27" s="197"/>
      <c r="W27" s="197"/>
      <c r="X27" s="197"/>
      <c r="Y27" s="197"/>
      <c r="Z27" s="198"/>
    </row>
    <row r="28" spans="2:26" ht="15.75" thickBot="1" x14ac:dyDescent="0.35">
      <c r="B28" s="316"/>
      <c r="C28" s="153"/>
      <c r="D28" s="153"/>
      <c r="E28" s="153"/>
      <c r="F28" s="154"/>
      <c r="G28" s="312"/>
      <c r="H28" s="313"/>
      <c r="I28" s="313"/>
      <c r="J28" s="313"/>
      <c r="K28" s="313"/>
      <c r="L28" s="313"/>
      <c r="M28" s="313"/>
      <c r="N28" s="313"/>
      <c r="Q28" s="287" t="s">
        <v>337</v>
      </c>
      <c r="R28" s="288"/>
      <c r="S28" s="201" t="s">
        <v>338</v>
      </c>
      <c r="T28" s="223">
        <v>-273</v>
      </c>
      <c r="U28" s="224">
        <v>-4</v>
      </c>
      <c r="V28" s="225">
        <v>10</v>
      </c>
      <c r="W28" s="224">
        <v>50</v>
      </c>
      <c r="X28" s="226">
        <v>80</v>
      </c>
      <c r="Y28" s="225">
        <v>120</v>
      </c>
      <c r="Z28" s="227">
        <v>175</v>
      </c>
    </row>
    <row r="29" spans="2:26" x14ac:dyDescent="0.3">
      <c r="B29" s="316"/>
      <c r="C29" s="153"/>
      <c r="D29" s="153"/>
      <c r="E29" s="153"/>
      <c r="F29" s="314" t="s">
        <v>276</v>
      </c>
      <c r="G29" s="315"/>
      <c r="H29" s="315"/>
      <c r="I29" s="315"/>
      <c r="J29" s="315"/>
      <c r="K29" s="315"/>
      <c r="L29" s="315"/>
      <c r="M29" s="315"/>
      <c r="N29" s="315"/>
      <c r="R29" s="244" t="s">
        <v>339</v>
      </c>
      <c r="S29" s="228" t="s">
        <v>340</v>
      </c>
      <c r="T29" s="229">
        <v>0</v>
      </c>
      <c r="U29" s="230">
        <v>0.1</v>
      </c>
      <c r="V29" s="231">
        <v>0</v>
      </c>
      <c r="W29" s="230">
        <v>0.1</v>
      </c>
      <c r="X29" s="230">
        <v>0.1</v>
      </c>
      <c r="Y29" s="231">
        <v>0</v>
      </c>
      <c r="Z29" s="232">
        <v>0</v>
      </c>
    </row>
    <row r="30" spans="2:26" x14ac:dyDescent="0.3">
      <c r="B30" s="316"/>
      <c r="C30" s="153"/>
      <c r="D30" s="153"/>
      <c r="E30" s="312" t="s">
        <v>277</v>
      </c>
      <c r="F30" s="313"/>
      <c r="G30" s="313"/>
      <c r="H30" s="313"/>
      <c r="I30" s="313"/>
      <c r="J30" s="313"/>
      <c r="K30" s="313"/>
      <c r="L30" s="313"/>
      <c r="M30" s="313"/>
      <c r="N30" s="313"/>
      <c r="R30" s="199" t="s">
        <v>341</v>
      </c>
      <c r="S30" s="233" t="s">
        <v>342</v>
      </c>
      <c r="T30" s="234">
        <v>0</v>
      </c>
      <c r="U30" s="235">
        <v>0.1</v>
      </c>
      <c r="V30" s="235">
        <v>0.1</v>
      </c>
      <c r="W30" s="235">
        <v>0.1</v>
      </c>
      <c r="X30" s="236">
        <v>0.2</v>
      </c>
      <c r="Y30" s="235">
        <v>0.1</v>
      </c>
      <c r="Z30" s="237">
        <v>0</v>
      </c>
    </row>
    <row r="31" spans="2:26" ht="15.75" thickBot="1" x14ac:dyDescent="0.35">
      <c r="B31" s="316"/>
      <c r="C31" s="153"/>
      <c r="D31" s="312" t="s">
        <v>278</v>
      </c>
      <c r="E31" s="313"/>
      <c r="F31" s="313"/>
      <c r="G31" s="313"/>
      <c r="H31" s="313"/>
      <c r="I31" s="313"/>
      <c r="J31" s="313"/>
      <c r="K31" s="313"/>
      <c r="L31" s="313"/>
      <c r="M31" s="313"/>
      <c r="N31" s="313"/>
      <c r="R31" s="200" t="s">
        <v>387</v>
      </c>
      <c r="S31" s="238" t="s">
        <v>343</v>
      </c>
      <c r="T31" s="239">
        <v>0</v>
      </c>
      <c r="U31" s="240">
        <v>0.2</v>
      </c>
      <c r="V31" s="241">
        <v>0.1</v>
      </c>
      <c r="W31" s="240">
        <v>0.2</v>
      </c>
      <c r="X31" s="242">
        <v>0.3</v>
      </c>
      <c r="Y31" s="241">
        <v>0.1</v>
      </c>
      <c r="Z31" s="243">
        <v>0</v>
      </c>
    </row>
    <row r="32" spans="2:26" ht="15.75" thickBot="1" x14ac:dyDescent="0.35">
      <c r="B32" s="316"/>
      <c r="C32" s="312" t="s">
        <v>279</v>
      </c>
      <c r="D32" s="313"/>
      <c r="E32" s="313"/>
      <c r="F32" s="313"/>
      <c r="G32" s="313"/>
      <c r="H32" s="313"/>
      <c r="I32" s="313"/>
      <c r="J32" s="313"/>
      <c r="K32" s="313"/>
      <c r="L32" s="313"/>
      <c r="M32" s="313"/>
      <c r="N32" s="313"/>
    </row>
    <row r="33" spans="2:26" ht="15.75" thickBot="1" x14ac:dyDescent="0.35">
      <c r="B33" s="186" t="s">
        <v>312</v>
      </c>
      <c r="Q33" s="287" t="s">
        <v>364</v>
      </c>
      <c r="R33" s="288"/>
      <c r="S33" s="202">
        <v>-273</v>
      </c>
      <c r="T33" s="257">
        <v>40</v>
      </c>
      <c r="U33" s="290" t="s">
        <v>363</v>
      </c>
      <c r="V33" s="290"/>
      <c r="W33" s="290"/>
    </row>
    <row r="34" spans="2:26" ht="15.75" thickBot="1" x14ac:dyDescent="0.35">
      <c r="B34" s="256"/>
      <c r="Q34" s="289" t="s">
        <v>361</v>
      </c>
      <c r="R34" s="288"/>
      <c r="S34" s="258">
        <v>0</v>
      </c>
      <c r="T34" s="259" t="s">
        <v>362</v>
      </c>
      <c r="U34" s="290"/>
      <c r="V34" s="290"/>
      <c r="W34" s="290"/>
    </row>
    <row r="35" spans="2:26" ht="15.75" thickBot="1" x14ac:dyDescent="0.35">
      <c r="B35" s="256"/>
    </row>
    <row r="36" spans="2:26" ht="15.75" thickBot="1" x14ac:dyDescent="0.35">
      <c r="R36" s="188" t="s">
        <v>314</v>
      </c>
      <c r="S36" s="189"/>
      <c r="T36" s="189"/>
      <c r="V36" s="245"/>
      <c r="W36" s="246" t="s">
        <v>344</v>
      </c>
      <c r="X36" s="247">
        <v>20</v>
      </c>
      <c r="Y36" s="266" t="s">
        <v>384</v>
      </c>
      <c r="Z36" s="265">
        <f>35/20</f>
        <v>1.75</v>
      </c>
    </row>
    <row r="37" spans="2:26" ht="15.75" thickBot="1" x14ac:dyDescent="0.35">
      <c r="R37" s="167" t="s">
        <v>286</v>
      </c>
      <c r="S37" s="168" t="s">
        <v>287</v>
      </c>
      <c r="T37" s="167" t="s">
        <v>288</v>
      </c>
      <c r="U37" s="168" t="s">
        <v>289</v>
      </c>
      <c r="V37" s="167" t="s">
        <v>288</v>
      </c>
      <c r="W37" s="168" t="s">
        <v>290</v>
      </c>
      <c r="X37" s="167" t="s">
        <v>288</v>
      </c>
      <c r="Y37" s="168" t="s">
        <v>291</v>
      </c>
      <c r="Z37" s="167" t="s">
        <v>288</v>
      </c>
    </row>
    <row r="38" spans="2:26" ht="38.25" x14ac:dyDescent="0.3">
      <c r="B38" s="294" t="s">
        <v>311</v>
      </c>
      <c r="C38" s="294"/>
      <c r="D38" s="294"/>
      <c r="E38" s="294"/>
      <c r="F38" s="294"/>
      <c r="G38" s="294"/>
      <c r="H38" s="294"/>
      <c r="I38" s="294"/>
      <c r="J38" s="294"/>
      <c r="K38" s="294"/>
      <c r="L38" s="294"/>
      <c r="M38" s="294"/>
      <c r="N38" s="294"/>
      <c r="O38" s="294"/>
      <c r="R38" s="291">
        <v>1</v>
      </c>
      <c r="S38" s="298" t="s">
        <v>292</v>
      </c>
      <c r="T38" s="291">
        <v>0.05</v>
      </c>
      <c r="U38" s="169" t="s">
        <v>293</v>
      </c>
      <c r="V38" s="291">
        <v>0.05</v>
      </c>
      <c r="W38" s="169" t="s">
        <v>294</v>
      </c>
      <c r="X38" s="291">
        <v>0.1</v>
      </c>
      <c r="Y38" s="298" t="s">
        <v>295</v>
      </c>
      <c r="Z38" s="291">
        <v>0.1</v>
      </c>
    </row>
    <row r="39" spans="2:26" ht="39" thickBot="1" x14ac:dyDescent="0.35">
      <c r="R39" s="292"/>
      <c r="S39" s="299"/>
      <c r="T39" s="292"/>
      <c r="U39" s="170" t="s">
        <v>296</v>
      </c>
      <c r="V39" s="292"/>
      <c r="W39" s="171" t="s">
        <v>297</v>
      </c>
      <c r="X39" s="292"/>
      <c r="Y39" s="299"/>
      <c r="Z39" s="292"/>
    </row>
    <row r="40" spans="2:26" ht="38.25" x14ac:dyDescent="0.3">
      <c r="R40" s="291">
        <v>2</v>
      </c>
      <c r="S40" s="298" t="s">
        <v>298</v>
      </c>
      <c r="T40" s="291">
        <v>0.3</v>
      </c>
      <c r="U40" s="172" t="s">
        <v>299</v>
      </c>
      <c r="V40" s="291">
        <v>0.75</v>
      </c>
      <c r="W40" s="295" t="s">
        <v>300</v>
      </c>
      <c r="X40" s="291">
        <v>0.5</v>
      </c>
      <c r="Y40" s="295" t="s">
        <v>255</v>
      </c>
      <c r="Z40" s="173" t="s">
        <v>301</v>
      </c>
    </row>
    <row r="41" spans="2:26" ht="15.75" thickBot="1" x14ac:dyDescent="0.35">
      <c r="R41" s="292"/>
      <c r="S41" s="299"/>
      <c r="T41" s="292"/>
      <c r="U41" s="174" t="s">
        <v>302</v>
      </c>
      <c r="V41" s="292"/>
      <c r="W41" s="296"/>
      <c r="X41" s="292"/>
      <c r="Y41" s="296"/>
      <c r="Z41" s="175" t="s">
        <v>303</v>
      </c>
    </row>
    <row r="42" spans="2:26" ht="25.5" x14ac:dyDescent="0.3">
      <c r="R42" s="291">
        <v>3</v>
      </c>
      <c r="S42" s="176" t="s">
        <v>304</v>
      </c>
      <c r="T42" s="291">
        <v>0.5</v>
      </c>
      <c r="U42" s="177" t="s">
        <v>305</v>
      </c>
      <c r="V42" s="291">
        <v>0.9</v>
      </c>
      <c r="W42" s="295" t="s">
        <v>306</v>
      </c>
      <c r="X42" s="291">
        <v>0.25</v>
      </c>
      <c r="Y42" s="295" t="s">
        <v>259</v>
      </c>
      <c r="Z42" s="291">
        <v>0.25</v>
      </c>
    </row>
    <row r="43" spans="2:26" x14ac:dyDescent="0.3">
      <c r="R43" s="292"/>
      <c r="S43" s="178" t="s">
        <v>307</v>
      </c>
      <c r="T43" s="292"/>
      <c r="U43" s="179" t="s">
        <v>308</v>
      </c>
      <c r="V43" s="292"/>
      <c r="W43" s="296"/>
      <c r="X43" s="292"/>
      <c r="Y43" s="296"/>
      <c r="Z43" s="292"/>
    </row>
    <row r="44" spans="2:26" ht="15.75" thickBot="1" x14ac:dyDescent="0.35">
      <c r="R44" s="293"/>
      <c r="S44" s="180"/>
      <c r="T44" s="293"/>
      <c r="U44" s="181" t="s">
        <v>302</v>
      </c>
      <c r="V44" s="293"/>
      <c r="W44" s="297"/>
      <c r="X44" s="293"/>
      <c r="Y44" s="297"/>
      <c r="Z44" s="293"/>
    </row>
    <row r="45" spans="2:26" ht="26.25" thickBot="1" x14ac:dyDescent="0.35">
      <c r="R45" s="182">
        <v>4</v>
      </c>
      <c r="S45" s="183"/>
      <c r="T45" s="182"/>
      <c r="U45" s="184"/>
      <c r="V45" s="182"/>
      <c r="W45" s="185" t="s">
        <v>309</v>
      </c>
      <c r="X45" s="182">
        <v>0.9</v>
      </c>
      <c r="Y45" s="185" t="s">
        <v>310</v>
      </c>
      <c r="Z45" s="182">
        <v>0.9</v>
      </c>
    </row>
    <row r="46" spans="2:26" ht="15.75" thickBot="1" x14ac:dyDescent="0.35">
      <c r="N46" s="300" t="s">
        <v>313</v>
      </c>
      <c r="O46" s="301"/>
      <c r="P46" s="301"/>
      <c r="Q46" s="302"/>
    </row>
  </sheetData>
  <mergeCells count="49">
    <mergeCell ref="C2:M2"/>
    <mergeCell ref="B4:B13"/>
    <mergeCell ref="C21:M21"/>
    <mergeCell ref="M22:N22"/>
    <mergeCell ref="L23:N23"/>
    <mergeCell ref="T17:V18"/>
    <mergeCell ref="J25:N25"/>
    <mergeCell ref="I26:N26"/>
    <mergeCell ref="B27:B32"/>
    <mergeCell ref="H27:N27"/>
    <mergeCell ref="G28:N28"/>
    <mergeCell ref="F29:N29"/>
    <mergeCell ref="E30:N30"/>
    <mergeCell ref="D31:N31"/>
    <mergeCell ref="C32:N32"/>
    <mergeCell ref="K24:N24"/>
    <mergeCell ref="Q23:R23"/>
    <mergeCell ref="Q28:R28"/>
    <mergeCell ref="Q24:R26"/>
    <mergeCell ref="N46:Q46"/>
    <mergeCell ref="U2:W2"/>
    <mergeCell ref="V3:W9"/>
    <mergeCell ref="T12:T16"/>
    <mergeCell ref="R42:R44"/>
    <mergeCell ref="T42:T44"/>
    <mergeCell ref="V42:V44"/>
    <mergeCell ref="W42:W44"/>
    <mergeCell ref="R40:R41"/>
    <mergeCell ref="S40:S41"/>
    <mergeCell ref="T40:T41"/>
    <mergeCell ref="V40:V41"/>
    <mergeCell ref="W40:W41"/>
    <mergeCell ref="P14:R14"/>
    <mergeCell ref="R38:R39"/>
    <mergeCell ref="S38:S39"/>
    <mergeCell ref="Q33:R33"/>
    <mergeCell ref="Q34:R34"/>
    <mergeCell ref="U33:W34"/>
    <mergeCell ref="Z42:Z44"/>
    <mergeCell ref="B38:O38"/>
    <mergeCell ref="X42:X44"/>
    <mergeCell ref="Y42:Y44"/>
    <mergeCell ref="Y38:Y39"/>
    <mergeCell ref="Z38:Z39"/>
    <mergeCell ref="X40:X41"/>
    <mergeCell ref="Y40:Y41"/>
    <mergeCell ref="T38:T39"/>
    <mergeCell ref="V38:V39"/>
    <mergeCell ref="X38:X39"/>
  </mergeCells>
  <conditionalFormatting sqref="C15:M20">
    <cfRule type="cellIs" dxfId="2" priority="4" operator="equal">
      <formula>"?"</formula>
    </cfRule>
  </conditionalFormatting>
  <conditionalFormatting sqref="T23:Z31">
    <cfRule type="expression" dxfId="1" priority="3">
      <formula>IF(KleurJN="Nee",1,0)</formula>
    </cfRule>
  </conditionalFormatting>
  <conditionalFormatting sqref="S33:T34">
    <cfRule type="expression" dxfId="0" priority="2">
      <formula>IF(KleurJN="Nee",1,0)</formula>
    </cfRule>
  </conditionalFormatting>
  <dataValidations xWindow="684" yWindow="226" count="17">
    <dataValidation type="list" showInputMessage="1" showErrorMessage="1" errorTitle="Nota bene" error="Er kunnen geen andere waarden worden toegevoegd om te vermijden dat het resultaat niet toepasbaar is." promptTitle="De mate van faalkans reductie" prompt="De mate van faalkans reductie die met de gegeven techniek te behalen is._x000a_De letter is een maat voor de effectiviteit, analoog aan API 581:_x000a_A= Highly Effective_x000a_B= Usually   ,,_x000a_C= Fairly      ,,_x000a_D= Poorly    ,,_x000a_E= Ineffective_x000a_?= Unknown (To be determined)" sqref="C15:M20">
      <formula1>"A,B,C,D,E,?"</formula1>
    </dataValidation>
    <dataValidation allowBlank="1" showInputMessage="1" showErrorMessage="1" promptTitle="Dekking:" prompt="Het percentage van de &quot;hot spots&quot;/ risicoplaatsen, wat door middel van NDO is onderzocht." sqref="R15"/>
    <dataValidation allowBlank="1" showInputMessage="1" showErrorMessage="1" promptTitle="Reductie factor:" prompt="De mate van reductie van het risico, wanneer de toegepaste techniek met de aangegeven effectiviteitsklasse is gehanteerd, uitgaande van een dekking van hotspots die overeenkomt met het percentage uit de volgende kolom." sqref="Q15"/>
    <dataValidation allowBlank="1" showInputMessage="1" showErrorMessage="1" promptTitle="Effectiviteits klasse" prompt="De effectiviteitsklasse, analoog aan de opzet vanuit de API 581." sqref="P15"/>
    <dataValidation type="custom" showInputMessage="1" showErrorMessage="1" errorTitle="Nota bene;" error="De inhoud van deze cellen is afgeschermd om de functionaliteit van dit spreadsheet zeker te stellen." sqref="O3:P13">
      <formula1>0</formula1>
    </dataValidation>
    <dataValidation type="list" allowBlank="1" showInputMessage="1" showErrorMessage="1" promptTitle="Optie in corrosie reductie:" prompt="De klasse voor de reductie in de corrosiesnelheid._x000a_1 is zeer goed, maximale reductie (vanuit praktijk bezien)_x000a_5 is zeer slecht (geen reductie)._x000a_Omgekeerd geldt 5 als stimulerend en 1 als beperkend." sqref="U3:U9">
      <formula1>$U$12:$U$16</formula1>
    </dataValidation>
    <dataValidation allowBlank="1" showInputMessage="1" showErrorMessage="1" promptTitle="Expected corrosion damage." prompt="De classificatie van de reductie in de corrosiesnelheid in verhouding tot isolatie die vocht vasthoudt en langzaam uitdroogt en daardoor het corrosieproces in stand houdt." sqref="V11"/>
    <dataValidation allowBlank="1" showInputMessage="1" showErrorMessage="1" promptTitle="Optie in corrosie reductie:" prompt="De klasse voor de reductie in de corrosiesnelheid._x000a_1 is zeer goed, maximale reductie (vanuit praktijk bezien)_x000a_5 is zeer slecht (geen reductie)." sqref="U11"/>
    <dataValidation allowBlank="1" showInputMessage="1" showErrorMessage="1" promptTitle="Weergegeven waarden:" prompt="De toename in de hierboven weergegeven corrosiesnelheid met de gegeven invloed uit de zout-risicomatrix." sqref="T29:Z31"/>
    <dataValidation allowBlank="1" showInputMessage="1" showErrorMessage="1" promptTitle="Nat-droog wisselingen:" prompt="Het aantal wisselingen per jaar, waarmee de isolatie wordt onderworpen aan een vochtbelasting gevolgd door een droogperiode._x000a_(er wordt vanuit gegaan dat inlek plaatsvindt)." sqref="S23"/>
    <dataValidation allowBlank="1" showInputMessage="1" showErrorMessage="1" promptTitle="[Zout] belasting:" prompt="De mate van belasting zoals veroorzaakt door de omgeving." sqref="S28"/>
    <dataValidation allowBlank="1" showInputMessage="1" showErrorMessage="1" promptTitle="Weergegeven waarden:" prompt="De corrosiesnelheid in de gegeven toepassing." sqref="S34:T34"/>
    <dataValidation allowBlank="1" showInputMessage="1" showErrorMessage="1" promptTitle="TSA Levensduur factor:" prompt="De verhouding tussen de levensduur voor &quot;gebruikelijke&quot; coatings ten opzichte van een thermisch gespoten, anorganisch gesealde aluminium coating, TSA._x000a__x000a_N.b.: Deze waarde wordt op het tabblad [Installatie] gebruikt!" sqref="Z36"/>
    <dataValidation type="custom" showInputMessage="1" showErrorMessage="1" errorTitle="Nota bene:" error="Deze cel is afgeschermd tegen onbedoelde wijzigingen!" sqref="R38:R45">
      <formula1>0</formula1>
    </dataValidation>
    <dataValidation type="custom" showInputMessage="1" showErrorMessage="1" errorTitle="Nota bene!" error="Deze cel is afgeschermd tegen onbedoelde wijzigingen!" promptTitle="Score" prompt="Vaste waarde, resultaat van de werkgroep." sqref="T38:T45 V38:V45 X38:X45 Z38:Z45">
      <formula1>0</formula1>
    </dataValidation>
    <dataValidation type="custom" showInputMessage="1" showErrorMessage="1" errorTitle="Nota bene!" error="Deze cel is afgeschermd tegen onbedoelde wijzigingen!" promptTitle="Beoordeling" prompt="Vaste referentie, resultaat van de werkgroep." sqref="S38:S45 U38:U45 W38:W45 Y38:Y45">
      <formula1>0</formula1>
    </dataValidation>
    <dataValidation allowBlank="1" showInputMessage="1" showErrorMessage="1" promptTitle="Coating referentie levensduur:" prompt="De referentie levensduur voor een toegepaste coating._x000a__x000a_N.b.: DEZE waarde wordt op het tabblad [Installatie] gebruikt!" sqref="X36"/>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2039ADD5E94A4BB0B15B5FB7ADAC87" ma:contentTypeVersion="6" ma:contentTypeDescription="Create a new document." ma:contentTypeScope="" ma:versionID="01b5e44866dc18d9b3fd6fcd47944d7a">
  <xsd:schema xmlns:xsd="http://www.w3.org/2001/XMLSchema" xmlns:xs="http://www.w3.org/2001/XMLSchema" xmlns:p="http://schemas.microsoft.com/office/2006/metadata/properties" xmlns:ns2="38e5a78e-e4a4-43bc-8811-d13ed7ad4f63" targetNamespace="http://schemas.microsoft.com/office/2006/metadata/properties" ma:root="true" ma:fieldsID="37d27698a04567d5c54218fea1b8dd69" ns2:_="">
    <xsd:import namespace="38e5a78e-e4a4-43bc-8811-d13ed7ad4f6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e5a78e-e4a4-43bc-8811-d13ed7ad4f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782BA7-11C6-4EA1-8281-85FD8F759F0D}"/>
</file>

<file path=customXml/itemProps2.xml><?xml version="1.0" encoding="utf-8"?>
<ds:datastoreItem xmlns:ds="http://schemas.openxmlformats.org/officeDocument/2006/customXml" ds:itemID="{62786278-E9DA-4F65-B789-CD3C7313A6F4}"/>
</file>

<file path=customXml/itemProps3.xml><?xml version="1.0" encoding="utf-8"?>
<ds:datastoreItem xmlns:ds="http://schemas.openxmlformats.org/officeDocument/2006/customXml" ds:itemID="{464FC4F7-57FA-4B3F-9798-B5F45D01D94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20</vt:i4>
      </vt:variant>
    </vt:vector>
  </HeadingPairs>
  <TitlesOfParts>
    <vt:vector size="25" baseType="lpstr">
      <vt:lpstr>Toelichting</vt:lpstr>
      <vt:lpstr>Installatie</vt:lpstr>
      <vt:lpstr>Weergave</vt:lpstr>
      <vt:lpstr>NEN-EN 16991</vt:lpstr>
      <vt:lpstr>Instellingen</vt:lpstr>
      <vt:lpstr>CoatRefLT</vt:lpstr>
      <vt:lpstr>CorrRVS</vt:lpstr>
      <vt:lpstr>CorrTempBounds</vt:lpstr>
      <vt:lpstr>DroogNatWissel</vt:lpstr>
      <vt:lpstr>ExpCorrDam</vt:lpstr>
      <vt:lpstr>IsolatieMateriaal</vt:lpstr>
      <vt:lpstr>KleurJN</vt:lpstr>
      <vt:lpstr>LimitsMOTBF</vt:lpstr>
      <vt:lpstr>NatDroogRiskMatrix</vt:lpstr>
      <vt:lpstr>NDT_Techn</vt:lpstr>
      <vt:lpstr>NDTEff</vt:lpstr>
      <vt:lpstr>NDTEffRatings</vt:lpstr>
      <vt:lpstr>Toelichting!Print_Area</vt:lpstr>
      <vt:lpstr>Risk_MOTBF</vt:lpstr>
      <vt:lpstr>TblIsolStimuFact</vt:lpstr>
      <vt:lpstr>TempRVS</vt:lpstr>
      <vt:lpstr>TSA_LTE</vt:lpstr>
      <vt:lpstr>Typicals</vt:lpstr>
      <vt:lpstr>ZoutRisico</vt:lpstr>
      <vt:lpstr>ZoutRiskMatrix</vt:lpstr>
    </vt:vector>
  </TitlesOfParts>
  <Company>WCM;STORK 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Planningstool voor Risk Based CUI Management.</dc:title>
  <dc:creator>Geert Henk Wijnants</dc:creator>
  <cp:keywords>Planning;CUI;Management</cp:keywords>
  <dc:description>Aangepast in geval van termijn overschrijding.</dc:description>
  <cp:lastModifiedBy>Geert Henk Wijnants</cp:lastModifiedBy>
  <cp:lastPrinted>2018-12-27T18:13:10Z</cp:lastPrinted>
  <dcterms:created xsi:type="dcterms:W3CDTF">2018-12-19T14:24:03Z</dcterms:created>
  <dcterms:modified xsi:type="dcterms:W3CDTF">2022-09-30T09:56:10Z</dcterms:modified>
  <cp:contentStatus>Last update: 22Aug20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0x0101001F2039ADD5E94A4BB0B15B5FB7ADAC87</vt:lpwstr>
  </property>
</Properties>
</file>