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docProps/app.xml" ContentType="application/vnd.openxmlformats-officedocument.extended-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STORK_PC\Geerthenk.wijnants\Stork\Projecten\WCM_CUI\Project NDT Eff\InspectieKosten\"/>
    </mc:Choice>
  </mc:AlternateContent>
  <bookViews>
    <workbookView xWindow="0" yWindow="0" windowWidth="19200" windowHeight="7605" tabRatio="813"/>
  </bookViews>
  <sheets>
    <sheet name="Toelichting" sheetId="7" r:id="rId1"/>
    <sheet name="Scenario's" sheetId="5" r:id="rId2"/>
    <sheet name="Life cycle costing" sheetId="1" r:id="rId3"/>
    <sheet name="Estimation formulae" sheetId="4" r:id="rId4"/>
    <sheet name="Referenties" sheetId="6" r:id="rId5"/>
    <sheet name="NDT Effectiviteit" sheetId="13" r:id="rId6"/>
    <sheet name="Scheidingsblad" sheetId="11" r:id="rId7"/>
    <sheet name="Input and Output" sheetId="8" r:id="rId8"/>
    <sheet name="Source INSU 2002" sheetId="9" r:id="rId9"/>
    <sheet name="Source SCAFF 2004" sheetId="10" r:id="rId10"/>
  </sheets>
  <externalReferences>
    <externalReference r:id="rId11"/>
  </externalReferences>
  <definedNames>
    <definedName name="Accessitibility">'NDT Effectiviteit'!$C$41</definedName>
    <definedName name="ColdIsolCosts">'Input and Output'!$J$36</definedName>
    <definedName name="HotIsolCosts">'Input and Output'!$J$31</definedName>
    <definedName name="NDT_Kosten">'NDT Effectiviteit'!$O$2:$O$12</definedName>
    <definedName name="NDT_Technieken">'NDT Effectiviteit'!$P$2:$P$12</definedName>
    <definedName name="NDTEff">'NDT Effectiviteit'!$D$47:$F$51</definedName>
    <definedName name="NDTEffRatings" comment="De effectiviteit van de betreffend NDT techniek, zoals toegekend middels de effectiviteits classificatie.">'NDT Effectiviteit'!$C$14:$M$19</definedName>
    <definedName name="_xlnm.Print_Area" localSheetId="9">'Source SCAFF 2004'!$A$1:$AK$71</definedName>
    <definedName name="_xlnm.Print_Area" localSheetId="0">Toelichting!$C$4:$F$34</definedName>
    <definedName name="RemLifeTimDef">'Estimation formulae'!$C$8</definedName>
    <definedName name="RemYrsOfUse">'Life cycle costing'!$D$10</definedName>
    <definedName name="Risk_MOTBF">'[1]NEN-EN 16991'!$AB$3:$AF$7</definedName>
    <definedName name="ScrInspIntDef">'Estimation formulae'!$C$6</definedName>
    <definedName name="Sensitivity">'NDT Effectiviteit'!$C$40</definedName>
    <definedName name="Typicals">'NDT Effectiviteit'!$B$14:$B$19</definedName>
    <definedName name="VisInspIntDef">'Estimation formulae'!$C$5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 i="13" l="1"/>
  <c r="O12" i="13" l="1"/>
  <c r="O11" i="13"/>
  <c r="O10" i="13"/>
  <c r="O9" i="13"/>
  <c r="O8" i="13"/>
  <c r="O7" i="13"/>
  <c r="O6" i="13"/>
  <c r="O5" i="13"/>
  <c r="O4" i="13"/>
  <c r="O3" i="13"/>
  <c r="D33" i="1"/>
  <c r="D37" i="8" l="1"/>
  <c r="D8" i="8"/>
  <c r="D7" i="8"/>
  <c r="D6" i="1" l="1"/>
  <c r="D44" i="1"/>
  <c r="E44" i="1" l="1"/>
  <c r="J17" i="5" l="1"/>
  <c r="J16" i="5"/>
  <c r="J15" i="5"/>
  <c r="J14" i="5"/>
  <c r="J13" i="5"/>
  <c r="J12" i="5"/>
  <c r="J11" i="5"/>
  <c r="J10" i="5"/>
  <c r="J9" i="5"/>
  <c r="J8" i="5"/>
  <c r="J7" i="5"/>
  <c r="J6" i="5"/>
  <c r="F65" i="1"/>
  <c r="C41" i="13"/>
  <c r="C40" i="13"/>
  <c r="F49" i="1"/>
  <c r="F54" i="1"/>
  <c r="F52" i="1"/>
  <c r="F48" i="1"/>
  <c r="D32" i="8"/>
  <c r="D10" i="8"/>
  <c r="D9" i="8"/>
  <c r="P2" i="13"/>
  <c r="P3" i="13"/>
  <c r="P4" i="13"/>
  <c r="P5" i="13"/>
  <c r="P6" i="13"/>
  <c r="P7" i="13"/>
  <c r="P8" i="13"/>
  <c r="P9" i="13"/>
  <c r="P10" i="13"/>
  <c r="P11" i="13"/>
  <c r="P12" i="13"/>
  <c r="C39" i="13" l="1"/>
  <c r="D82" i="1"/>
  <c r="D68" i="1"/>
  <c r="F69" i="1" s="1"/>
  <c r="N42" i="13"/>
  <c r="D61" i="1"/>
  <c r="E61" i="1" s="1"/>
  <c r="F64" i="1" l="1"/>
  <c r="I5" i="9" l="1"/>
  <c r="J30" i="8" s="1"/>
  <c r="I6" i="9"/>
  <c r="I40" i="9"/>
  <c r="D42" i="9" s="1"/>
  <c r="I41" i="9"/>
  <c r="J6" i="8"/>
  <c r="J9" i="8" s="1"/>
  <c r="D13" i="8"/>
  <c r="D38" i="8" s="1"/>
  <c r="D35" i="8"/>
  <c r="D36" i="8"/>
  <c r="F59" i="1"/>
  <c r="F58" i="1"/>
  <c r="J31" i="8" l="1"/>
  <c r="D80" i="1" s="1"/>
  <c r="F80" i="1" s="1"/>
  <c r="D7" i="9"/>
  <c r="J8" i="8"/>
  <c r="J10" i="8" s="1"/>
  <c r="D75" i="1" s="1"/>
  <c r="F75" i="1" s="1"/>
  <c r="J35" i="8"/>
  <c r="J36" i="8" s="1"/>
  <c r="F17" i="1"/>
  <c r="F31" i="1"/>
  <c r="F42" i="1"/>
  <c r="F47" i="1"/>
  <c r="F81" i="1" l="1"/>
  <c r="J18" i="5"/>
  <c r="J19" i="5" s="1"/>
  <c r="F38" i="1"/>
  <c r="F37" i="1"/>
  <c r="F36" i="1"/>
  <c r="F35" i="1"/>
  <c r="F34" i="1"/>
  <c r="F33" i="1"/>
  <c r="F32" i="1"/>
  <c r="F20" i="1"/>
  <c r="F18" i="1"/>
  <c r="F40" i="1" l="1"/>
  <c r="H4" i="4"/>
  <c r="I4" i="4" s="1"/>
  <c r="H3" i="4"/>
  <c r="I3" i="4" s="1"/>
  <c r="G4" i="4"/>
  <c r="G3" i="4"/>
  <c r="F50" i="1" l="1"/>
  <c r="F51" i="1"/>
  <c r="F53" i="1"/>
  <c r="F44" i="1"/>
  <c r="F56" i="1" l="1"/>
  <c r="F19" i="1"/>
  <c r="F21" i="1"/>
  <c r="F22" i="1"/>
  <c r="F23" i="1"/>
  <c r="F24" i="1"/>
  <c r="F25" i="1"/>
  <c r="F26" i="1"/>
  <c r="F28" i="1" l="1"/>
  <c r="C5" i="5" s="1"/>
  <c r="AV49" i="1"/>
  <c r="AV50" i="1"/>
  <c r="AV51" i="1"/>
  <c r="AV52" i="1"/>
  <c r="AV53" i="1"/>
  <c r="AV54" i="1"/>
  <c r="AV48" i="1"/>
  <c r="AV38" i="1"/>
  <c r="AV33" i="1"/>
  <c r="AV34" i="1"/>
  <c r="AV35" i="1"/>
  <c r="AV36" i="1"/>
  <c r="AV37" i="1"/>
  <c r="AV32" i="1"/>
  <c r="AV39" i="1" l="1"/>
  <c r="AV55" i="1"/>
</calcChain>
</file>

<file path=xl/comments1.xml><?xml version="1.0" encoding="utf-8"?>
<comments xmlns="http://schemas.openxmlformats.org/spreadsheetml/2006/main">
  <authors>
    <author>Geert Henk Wijnants</author>
  </authors>
  <commentList>
    <comment ref="B3" authorId="0" shapeId="0">
      <text>
        <r>
          <rPr>
            <b/>
            <sz val="9"/>
            <color indexed="81"/>
            <rFont val="Tahoma"/>
            <family val="2"/>
          </rPr>
          <t>Toelichting:</t>
        </r>
        <r>
          <rPr>
            <sz val="9"/>
            <color indexed="81"/>
            <rFont val="Tahoma"/>
            <family val="2"/>
          </rPr>
          <t xml:space="preserve">
In deze drie cellen staat de voorbeeldberekening, zoals die in de hele tabel voor alle weergegeven combinaties wordt toegepast.</t>
        </r>
      </text>
    </comment>
  </commentList>
</comments>
</file>

<file path=xl/comments2.xml><?xml version="1.0" encoding="utf-8"?>
<comments xmlns="http://schemas.openxmlformats.org/spreadsheetml/2006/main">
  <authors>
    <author>Geert Henk Wijnants</author>
  </authors>
  <commentList>
    <comment ref="D20" authorId="0" shapeId="0">
      <text>
        <r>
          <rPr>
            <b/>
            <sz val="9"/>
            <color indexed="81"/>
            <rFont val="Tahoma"/>
            <charset val="1"/>
          </rPr>
          <t>21Nov19:</t>
        </r>
        <r>
          <rPr>
            <sz val="9"/>
            <color indexed="81"/>
            <rFont val="Tahoma"/>
            <charset val="1"/>
          </rPr>
          <t xml:space="preserve">
Bijgesteld van 600 nav inbreng uit de werkgroep. Zie tabblad [NDT effectiviteit]</t>
        </r>
      </text>
    </comment>
    <comment ref="A27" authorId="0" shapeId="0">
      <text>
        <r>
          <rPr>
            <b/>
            <sz val="9"/>
            <color indexed="81"/>
            <rFont val="Tahoma"/>
            <family val="2"/>
          </rPr>
          <t>Toelichting:</t>
        </r>
        <r>
          <rPr>
            <sz val="9"/>
            <color indexed="81"/>
            <rFont val="Tahoma"/>
            <family val="2"/>
          </rPr>
          <t xml:space="preserve">
Dit is als uitgangspunt genomen om daarmee een kader op te leggen aan de benodigde kwaliteit van het werk proces "stralen en schilderen".</t>
        </r>
      </text>
    </comment>
    <comment ref="D33" authorId="0" shapeId="0">
      <text>
        <r>
          <rPr>
            <b/>
            <sz val="9"/>
            <color indexed="81"/>
            <rFont val="Tahoma"/>
            <family val="2"/>
          </rPr>
          <t>21Nov19:</t>
        </r>
        <r>
          <rPr>
            <sz val="9"/>
            <color indexed="81"/>
            <rFont val="Tahoma"/>
            <family val="2"/>
          </rPr>
          <t xml:space="preserve">
Wás eerder 1.500 .</t>
        </r>
      </text>
    </comment>
    <comment ref="A39" authorId="0" shapeId="0">
      <text>
        <r>
          <rPr>
            <b/>
            <sz val="9"/>
            <color indexed="81"/>
            <rFont val="Tahoma"/>
            <family val="2"/>
          </rPr>
          <t>Toelichting:</t>
        </r>
        <r>
          <rPr>
            <sz val="9"/>
            <color indexed="81"/>
            <rFont val="Tahoma"/>
            <family val="2"/>
          </rPr>
          <t xml:space="preserve">
Dit is als uitgangspunt genomen om daarmee een kader op te leggen aan de benodigde kwaliteit van het screenings proces.
(N.b.: screening ≡ conditie beoordelen m.b.v. NDO)</t>
        </r>
      </text>
    </comment>
    <comment ref="E44" authorId="0" shapeId="0">
      <text>
        <r>
          <rPr>
            <b/>
            <sz val="9"/>
            <color indexed="81"/>
            <rFont val="Tahoma"/>
            <family val="2"/>
          </rPr>
          <t>Voorbeeld:</t>
        </r>
        <r>
          <rPr>
            <sz val="9"/>
            <color indexed="81"/>
            <rFont val="Tahoma"/>
            <family val="2"/>
          </rPr>
          <t xml:space="preserve">
Een leidingsysteem met klasse 4 faalgevolgen, uitgaande van 2 km lengte in totaal, resulterend in 10 Mio/20 oftewel 50 k€ per faalsituatie.</t>
        </r>
      </text>
    </comment>
    <comment ref="A55" authorId="0" shapeId="0">
      <text>
        <r>
          <rPr>
            <b/>
            <sz val="9"/>
            <color indexed="81"/>
            <rFont val="Tahoma"/>
            <family val="2"/>
          </rPr>
          <t>Toelichting:</t>
        </r>
        <r>
          <rPr>
            <sz val="9"/>
            <color indexed="81"/>
            <rFont val="Tahoma"/>
            <family val="2"/>
          </rPr>
          <t xml:space="preserve">
Dit is als uitgangspunt genomen om daarmee een kader op te leggen aan de benodigde kwaliteit voor het upgrade proces.</t>
        </r>
      </text>
    </comment>
    <comment ref="A65" authorId="0" shapeId="0">
      <text>
        <r>
          <rPr>
            <b/>
            <sz val="9"/>
            <color indexed="81"/>
            <rFont val="Tahoma"/>
            <charset val="1"/>
          </rPr>
          <t>Toelichting:</t>
        </r>
        <r>
          <rPr>
            <sz val="9"/>
            <color indexed="81"/>
            <rFont val="Tahoma"/>
            <charset val="1"/>
          </rPr>
          <t xml:space="preserve">
Analoog aan schenario "Screening met vervolgactie" is dit een stap die altijd van toepassing zal zijn.</t>
        </r>
      </text>
    </comment>
  </commentList>
</comments>
</file>

<file path=xl/comments3.xml><?xml version="1.0" encoding="utf-8"?>
<comments xmlns="http://schemas.openxmlformats.org/spreadsheetml/2006/main">
  <authors>
    <author>Geert Henk Wijnants</author>
  </authors>
  <commentList>
    <comment ref="O1" authorId="0" shapeId="0">
      <text>
        <r>
          <rPr>
            <b/>
            <sz val="9"/>
            <color indexed="81"/>
            <rFont val="Tahoma"/>
            <family val="2"/>
          </rPr>
          <t>Toelichting:</t>
        </r>
        <r>
          <rPr>
            <sz val="9"/>
            <color indexed="81"/>
            <rFont val="Tahoma"/>
            <family val="2"/>
          </rPr>
          <t xml:space="preserve">
Deze kostenberekeningen zijn gebaseerd op de gehanteerde broninfo.</t>
        </r>
      </text>
    </comment>
    <comment ref="O2"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3"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4"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5"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6"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7"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8"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9"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10"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11"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O12" authorId="0" shapeId="0">
      <text>
        <r>
          <rPr>
            <b/>
            <sz val="9"/>
            <color indexed="81"/>
            <rFont val="Tahoma"/>
            <family val="2"/>
          </rPr>
          <t>Referentie:</t>
        </r>
        <r>
          <rPr>
            <sz val="9"/>
            <color indexed="81"/>
            <rFont val="Tahoma"/>
            <family val="2"/>
          </rPr>
          <t xml:space="preserve">
Afkomstig uit werkblad [Aanvullende info kosten_november 2019 v3.xlsx].</t>
        </r>
      </text>
    </comment>
    <comment ref="C39" authorId="0" shapeId="0">
      <text>
        <r>
          <rPr>
            <b/>
            <sz val="9"/>
            <color indexed="81"/>
            <rFont val="Tahoma"/>
            <family val="2"/>
          </rPr>
          <t>Toelichting:</t>
        </r>
        <r>
          <rPr>
            <sz val="9"/>
            <color indexed="81"/>
            <rFont val="Tahoma"/>
            <family val="2"/>
          </rPr>
          <t xml:space="preserve">
De reductiefactor varieert tussen 100%, géén enkele reductie, tot 1%, maximale reductie.</t>
        </r>
      </text>
    </comment>
    <comment ref="B40" authorId="0" shapeId="0">
      <text>
        <r>
          <rPr>
            <b/>
            <sz val="9"/>
            <color indexed="81"/>
            <rFont val="Tahoma"/>
            <family val="2"/>
          </rPr>
          <t>Nota bene:</t>
        </r>
        <r>
          <rPr>
            <sz val="9"/>
            <color indexed="81"/>
            <rFont val="Tahoma"/>
            <family val="2"/>
          </rPr>
          <t xml:space="preserve">
De gegevens op dit tabblad worden in de scenario's gebruikt.
Daarom zijn deze deels afgeschermd waar dat invloed kan hebben.</t>
        </r>
      </text>
    </comment>
    <comment ref="B41" authorId="0" shapeId="0">
      <text>
        <r>
          <rPr>
            <b/>
            <sz val="9"/>
            <color indexed="81"/>
            <rFont val="Tahoma"/>
            <family val="2"/>
          </rPr>
          <t>Nota bene:</t>
        </r>
        <r>
          <rPr>
            <sz val="9"/>
            <color indexed="81"/>
            <rFont val="Tahoma"/>
            <family val="2"/>
          </rPr>
          <t xml:space="preserve">
De gegevens op dit tabblad worden in de scenario's gebruikt.
Daarom zijn deze deels afgeschermd waar dat invloed kan hebben.</t>
        </r>
      </text>
    </comment>
    <comment ref="C43" authorId="0" shapeId="0">
      <text>
        <r>
          <rPr>
            <b/>
            <sz val="9"/>
            <color indexed="81"/>
            <rFont val="Tahoma"/>
            <family val="2"/>
          </rPr>
          <t>Opmerking:</t>
        </r>
        <r>
          <rPr>
            <sz val="9"/>
            <color indexed="81"/>
            <rFont val="Tahoma"/>
            <family val="2"/>
          </rPr>
          <t xml:space="preserve">
Dit veld is in momenteel nog niet in te vullen aangezien de gegevens daarvoor ontbreken.</t>
        </r>
      </text>
    </comment>
  </commentList>
</comments>
</file>

<file path=xl/sharedStrings.xml><?xml version="1.0" encoding="utf-8"?>
<sst xmlns="http://schemas.openxmlformats.org/spreadsheetml/2006/main" count="570" uniqueCount="373">
  <si>
    <t>Scenario delag and repaint</t>
  </si>
  <si>
    <t>Scenario screening and follow-up</t>
  </si>
  <si>
    <t>Year 31</t>
  </si>
  <si>
    <t>Year 32</t>
  </si>
  <si>
    <t>Year 33</t>
  </si>
  <si>
    <t>Year 34</t>
  </si>
  <si>
    <t>Year 35</t>
  </si>
  <si>
    <t>Year 36</t>
  </si>
  <si>
    <t>Year 37</t>
  </si>
  <si>
    <t>Year 38</t>
  </si>
  <si>
    <t>Year 39</t>
  </si>
  <si>
    <t>Year 40</t>
  </si>
  <si>
    <t>CUI inspection only: no CUPS inspection</t>
  </si>
  <si>
    <t>Visual inspection every 10 years</t>
  </si>
  <si>
    <t>One expansion loop (4 bends)</t>
  </si>
  <si>
    <t>4x12 CML's on bends every 5 years</t>
  </si>
  <si>
    <t>4x12 CML's on bends every 10 years</t>
  </si>
  <si>
    <t>5x4 CML's on straights every 10 years</t>
  </si>
  <si>
    <t>Scaffolding 100x4 m3</t>
  </si>
  <si>
    <t>5x4 CML's on straights every 5 years</t>
  </si>
  <si>
    <t>Accessibility for CML's 9 x moving platform</t>
  </si>
  <si>
    <t>Cleaning &amp; blasting</t>
  </si>
  <si>
    <t>Coating every 20 years</t>
  </si>
  <si>
    <t>Pre-inspection</t>
  </si>
  <si>
    <t>Follow-up 1 location (moving platform, cleaning, pit-gauge, profile RT)</t>
  </si>
  <si>
    <t>Cost for one program</t>
  </si>
  <si>
    <t>Screening NDT LRUT</t>
  </si>
  <si>
    <t>Impact of scenarion on likelyhood: from level 4 to level 2</t>
  </si>
  <si>
    <t>Impact of scenarion on likelyhood: from level 4 to level 1</t>
  </si>
  <si>
    <t>Qualification of LRUT for application</t>
  </si>
  <si>
    <t>12x4 CML's on bends every 5 years</t>
  </si>
  <si>
    <t>Scenarion Break and repair</t>
  </si>
  <si>
    <t>CUI developed to leak + repair + damages</t>
  </si>
  <si>
    <t>Opmerking</t>
  </si>
  <si>
    <t>Veiligheid, derving, reparatie, grond vervuiling</t>
  </si>
  <si>
    <t>Scenario upgrade to be CUI exempt</t>
  </si>
  <si>
    <t>Upgrade</t>
  </si>
  <si>
    <t>Activity term</t>
  </si>
  <si>
    <t>Years of remaining service</t>
  </si>
  <si>
    <t>Parameter</t>
  </si>
  <si>
    <t>Likelihood category</t>
  </si>
  <si>
    <t>Severity category</t>
  </si>
  <si>
    <t>Object description</t>
  </si>
  <si>
    <t>Piping elevated in piperack</t>
  </si>
  <si>
    <t>Length (m)</t>
  </si>
  <si>
    <t>Corrosion rate (mm)</t>
  </si>
  <si>
    <t>Wall thickness (mm)</t>
  </si>
  <si>
    <t>Corrosion allowance (mm)</t>
  </si>
  <si>
    <t>Lifetime cost</t>
  </si>
  <si>
    <t>Follow-up 1 location (pit-gauge)</t>
  </si>
  <si>
    <t xml:space="preserve">Sum of cost over lifetime (without cost of capital) </t>
  </si>
  <si>
    <t>Estimation formula's</t>
  </si>
  <si>
    <t>Cost of access visual inspection</t>
  </si>
  <si>
    <t>Cost of access screening inspection</t>
  </si>
  <si>
    <t>Inspection term visual</t>
  </si>
  <si>
    <t>Inspection term screening</t>
  </si>
  <si>
    <t>Cost percentage NDT in inspection plan</t>
  </si>
  <si>
    <t>Input</t>
  </si>
  <si>
    <t>Output</t>
  </si>
  <si>
    <t>Estimate cost visual inspection program</t>
  </si>
  <si>
    <t>Estimate cost screening inspection program</t>
  </si>
  <si>
    <t>Remaining life time</t>
  </si>
  <si>
    <t>Over life cycle</t>
  </si>
  <si>
    <t>One time</t>
  </si>
  <si>
    <t>Per year (rounded for last term)</t>
  </si>
  <si>
    <t>Input:</t>
  </si>
  <si>
    <t>Kosten om toegang te verkrijgen voor visuele inspectie</t>
  </si>
  <si>
    <t>Kosten van toegang voor screening inspectie</t>
  </si>
  <si>
    <t>Kosten percentage van NDO tov het totale plan</t>
  </si>
  <si>
    <t>Restlevensduur</t>
  </si>
  <si>
    <t>Basis gegevens voor de kostenschatting:</t>
  </si>
  <si>
    <t>Object beschrijving:</t>
  </si>
  <si>
    <t>Lengte (meter)</t>
  </si>
  <si>
    <t>Één expansie loop (van 4 bochten)</t>
  </si>
  <si>
    <t>Het aantal jaren van verwacht gebruik (na heden)</t>
  </si>
  <si>
    <t>Corrosie snelheid (mm.jr)</t>
  </si>
  <si>
    <t>Wanddikte (mm)</t>
  </si>
  <si>
    <t>Corrosie toeslag (mm)</t>
  </si>
  <si>
    <t>SCENARIO's:</t>
  </si>
  <si>
    <t>Coating iedere X jaar (Default = 20)</t>
  </si>
  <si>
    <t>Pre-inspectie</t>
  </si>
  <si>
    <t>5x4 CML's op rechte leidingdelen iedere X jaar (Default = 5)</t>
  </si>
  <si>
    <r>
      <t>Scaffolding 100x4 m</t>
    </r>
    <r>
      <rPr>
        <sz val="11"/>
        <color theme="1"/>
        <rFont val="Trebuchet MS"/>
        <family val="2"/>
      </rPr>
      <t>³</t>
    </r>
    <r>
      <rPr>
        <sz val="11"/>
        <color theme="1"/>
        <rFont val="Calibri"/>
        <family val="2"/>
        <scheme val="minor"/>
      </rPr>
      <t>, 3 weken, 20 euro per m3 per week</t>
    </r>
  </si>
  <si>
    <r>
      <t>Steigerbouw, 100x 4 m</t>
    </r>
    <r>
      <rPr>
        <sz val="11"/>
        <color theme="1"/>
        <rFont val="Trebuchet MS"/>
        <family val="2"/>
      </rPr>
      <t>³</t>
    </r>
    <r>
      <rPr>
        <sz val="11"/>
        <color theme="1"/>
        <rFont val="Calibri"/>
        <family val="2"/>
        <scheme val="minor"/>
      </rPr>
      <t>, 3 weken, 20 euro per m³ per week.</t>
    </r>
  </si>
  <si>
    <t>12x 4 Corrosie Monitoring Locaties (CML's) iedere X jaar (Default = 5)</t>
  </si>
  <si>
    <t>Schoonmaken en stralen</t>
  </si>
  <si>
    <t>Vervolg meting, schadediepte (put-meting)</t>
  </si>
  <si>
    <t>Som van de kosten over de levensduur (zonder kapitaallasten)</t>
  </si>
  <si>
    <t>Voor-inspectie</t>
  </si>
  <si>
    <t>Screening met NDO - Long Range UT (LRUT)</t>
  </si>
  <si>
    <t>4x12 CML's op bochten, iedere X jaar (Default= 5 jr).</t>
  </si>
  <si>
    <t>5x4 CML's op rechte stukken, iedere X jaar (Default= 5 jr).</t>
  </si>
  <si>
    <t>Toegang naar CML's via 9 verstelbare platformen</t>
  </si>
  <si>
    <t>Vervolg meting(verplaatsbaar platform, schoonmaken, schadediepte (put-meting), profiel radiografie</t>
  </si>
  <si>
    <t>Verbetering / upgrade</t>
  </si>
  <si>
    <t>4x12 CML's op bochten, iedere X jaar (Default= 10 jr).</t>
  </si>
  <si>
    <t>5x4 CML's op rechte stukken, iedere X jaar (Default= 10 jr).</t>
  </si>
  <si>
    <t>Safety, loss, repair, pollution of terrain.</t>
  </si>
  <si>
    <t>Pijpleidingen in een pijpenbrug</t>
  </si>
  <si>
    <t>Resultaat</t>
  </si>
  <si>
    <t>Kosten schatting voor visuele inspectie</t>
  </si>
  <si>
    <t>Kosten schatting voor een screening programma</t>
  </si>
  <si>
    <t>Eenmalig</t>
  </si>
  <si>
    <t>Per jaar (afgerond voor de laatste termijn)</t>
  </si>
  <si>
    <t>Over de levensduur</t>
  </si>
  <si>
    <t>Inspectie termijn visuele insp. (default)</t>
  </si>
  <si>
    <t>Inspectie termijn screening insp. (default)</t>
  </si>
  <si>
    <t>Alléén CUI  inspectie; géén CUPS inspectie (Corrosion Under Pipe Support)</t>
  </si>
  <si>
    <t>Uitgangspunt is dat er urgentie is vanwege aanwezig risico.</t>
  </si>
  <si>
    <t>Kwalificatie van LRUT voor de toepassing (Default: éénmalig voor de restlevensduur)</t>
  </si>
  <si>
    <t>Screening met vervolgaktie</t>
  </si>
  <si>
    <t>Stralen en schilderen</t>
  </si>
  <si>
    <t>Storing en reparatie</t>
  </si>
  <si>
    <t>Lifetime cost; Kosten over de restlevensduur:</t>
  </si>
  <si>
    <t>Cost for one program;
Kosten van één aktie:</t>
  </si>
  <si>
    <t>Activity term;
Herhalings termijn:</t>
  </si>
  <si>
    <t>Op dit sheet wordt uitgerekend wat de totale kosten zijn van het omgaan met corrosie onder isolatie volgens een bepaald programma.</t>
  </si>
  <si>
    <t>Lengte leiding:</t>
  </si>
  <si>
    <t>Onderhoudsscenario:</t>
  </si>
  <si>
    <t>Kosten:</t>
  </si>
  <si>
    <t>Leiding lengtes boven deze regel.</t>
  </si>
  <si>
    <t>2" systeem</t>
  </si>
  <si>
    <t>4"productleidingen</t>
  </si>
  <si>
    <t>&lt;&lt; Vast gegeven.</t>
  </si>
  <si>
    <t>&lt;&lt; Variabele</t>
  </si>
  <si>
    <t>Upgraden waarmee CUI wordt uitgesloten</t>
  </si>
  <si>
    <t>Scenario's: (totale kosten over restlevensduur)</t>
  </si>
  <si>
    <t>10" recycle gas systeem</t>
  </si>
  <si>
    <t>Scenario keuze:</t>
  </si>
  <si>
    <t>Een totale raming kan dan gemaakt worden door per leiding het scenario te kiezen en in een optelsom te zetten.
Zie voorbeeld hierboven in de rechter kolommen.</t>
  </si>
  <si>
    <t>Jaar-kosten:</t>
  </si>
  <si>
    <t>Visuele inspectie iedere X jaar (Default = 10)</t>
  </si>
  <si>
    <t>In deze tool is gebruik gemaakt van de volgende bronnen van informatie:</t>
  </si>
  <si>
    <t>TNO_Cost of Inspection Rev. 10</t>
  </si>
  <si>
    <t>Ref.#:</t>
  </si>
  <si>
    <t>Bron:</t>
  </si>
  <si>
    <t>Datum:</t>
  </si>
  <si>
    <t>Bestand:</t>
  </si>
  <si>
    <t>Opmerking:</t>
  </si>
  <si>
    <t>Nov. 2006.</t>
  </si>
  <si>
    <t>TNO_Cost of inspection rev 10.xls</t>
  </si>
  <si>
    <r>
      <t>Betreft kosten berekening op basis van m</t>
    </r>
    <r>
      <rPr>
        <sz val="11"/>
        <color theme="1"/>
        <rFont val="Trebuchet MS"/>
        <family val="2"/>
      </rPr>
      <t>²</t>
    </r>
    <r>
      <rPr>
        <sz val="11"/>
        <color theme="1"/>
        <rFont val="Calibri"/>
        <family val="2"/>
        <scheme val="minor"/>
      </rPr>
      <t xml:space="preserve"> en verwerkingssnelheid in m</t>
    </r>
    <r>
      <rPr>
        <sz val="11"/>
        <color theme="1"/>
        <rFont val="Trebuchet MS"/>
        <family val="2"/>
      </rPr>
      <t>²</t>
    </r>
    <r>
      <rPr>
        <sz val="11"/>
        <color theme="1"/>
        <rFont val="Calibri"/>
        <family val="2"/>
        <scheme val="minor"/>
      </rPr>
      <t>/dag.
Gegevens zijn vergeleken met kosten ad 2019; blijken nog representatief te zijn.</t>
    </r>
  </si>
  <si>
    <t>TNO_Costs of Scaffolding and Insulation v4.xls</t>
  </si>
  <si>
    <t>Okt. 2006</t>
  </si>
  <si>
    <t>TNO_Costs of Scaffolding and Insulation v4</t>
  </si>
  <si>
    <r>
      <t>Betreft kosten berekening op basis van m</t>
    </r>
    <r>
      <rPr>
        <sz val="11"/>
        <color theme="1"/>
        <rFont val="Trebuchet MS"/>
        <family val="2"/>
      </rPr>
      <t>³</t>
    </r>
    <r>
      <rPr>
        <sz val="11"/>
        <color theme="1"/>
        <rFont val="Calibri"/>
        <family val="2"/>
        <scheme val="minor"/>
      </rPr>
      <t xml:space="preserve"> en gebruiksduur met m³ x aantal dagen.
Bevat inflatiecorrectie.
Gegevens zijn vergeleken met kosten ad 2019; blijken representatief te zijn met inflatie% = 8%.</t>
    </r>
  </si>
  <si>
    <t xml:space="preserve">
</t>
  </si>
  <si>
    <t>Tool die projectonderdelen Risk Based CUI Management integreert.</t>
  </si>
  <si>
    <t>World Class Maintenance.</t>
  </si>
  <si>
    <t>Project:</t>
  </si>
  <si>
    <t>Risk Based Corrosie Onder Isolatie Management.</t>
  </si>
  <si>
    <t>Het daarbij gehanteerde motto is: "een expliciet beslisproces is in een beslismodel te vatten".</t>
  </si>
  <si>
    <r>
      <rPr>
        <b/>
        <sz val="10"/>
        <color theme="1"/>
        <rFont val="Trebuchet MS"/>
        <family val="2"/>
      </rPr>
      <t>Gebruikte kleur codering:</t>
    </r>
    <r>
      <rPr>
        <b/>
        <sz val="9"/>
        <color theme="1"/>
        <rFont val="Trebuchet MS"/>
        <family val="2"/>
      </rPr>
      <t xml:space="preserve"> </t>
    </r>
    <r>
      <rPr>
        <sz val="9"/>
        <color theme="1"/>
        <rFont val="Trebuchet MS"/>
        <family val="2"/>
      </rPr>
      <t>(standaard vlgs Microsoft Excel):</t>
    </r>
  </si>
  <si>
    <t>Invoer van gegevens (input):</t>
  </si>
  <si>
    <t>Resultaat van invoer (output):</t>
  </si>
  <si>
    <t>In deze tool worden de volgende hulpmiddelen aangereikt:</t>
  </si>
  <si>
    <t>Ontwikkelingen:</t>
  </si>
  <si>
    <r>
      <t>•</t>
    </r>
    <r>
      <rPr>
        <sz val="8.5"/>
        <rFont val="Trebuchet MS"/>
        <family val="2"/>
      </rPr>
      <t xml:space="preserve"> </t>
    </r>
    <r>
      <rPr>
        <sz val="10"/>
        <rFont val="Trebuchet MS"/>
        <family val="2"/>
      </rPr>
      <t>Kostenoverzicht bij keuze van scenario's per leidingsysteem.                     Tab: [Scenario's]</t>
    </r>
  </si>
  <si>
    <t>• Uitwerking van de kosten per scenario.                                                         Tab: [Life cycle costing]</t>
  </si>
  <si>
    <t>• Lijst met algemene basisgegevens waar in de bereking mee is gewerkt.     Tab: [Estimation formulae]</t>
  </si>
  <si>
    <t>Die berekening vormt een eenheidsmaat, waarmee voor andere lengtes naar rato de kosten worden berekend.</t>
  </si>
  <si>
    <t>Efficiency voordelen bij grotere volumes zitten daar niet in (kunnen desgewenst in cel [Scenario's].[C5] worden verwerkt)</t>
  </si>
  <si>
    <t>Op basis van de kostenanalyse, is per leidingsysteem een keuze op basis van risico's en kosten mogelijk.</t>
  </si>
  <si>
    <t>Daarmee is de asset owner in staat voor de totale asset een onderbouwde afweging te maken.</t>
  </si>
  <si>
    <t>Op termijn wordt voorzien dat het aantal scenario's uitgebreid kan worden met verschillende toegepaste technieken.</t>
  </si>
  <si>
    <t>Ook is dan meer nuance in te brengen door middel van het aanwezige risiconiveau op basis van de degradatietrend per leiding.</t>
  </si>
  <si>
    <t>Dit zal in staat stellen tot een verdere nuancering in het risicogestuurde asset management beleid.</t>
  </si>
  <si>
    <t>Uitwerking: Casper Wassink; werkgroep NDT Effectiviteit.</t>
  </si>
  <si>
    <t>(8): This is the year to which the source data are related.</t>
  </si>
  <si>
    <t>(7): Average inflation rate since the year of source data (6)</t>
  </si>
  <si>
    <t>(6): Specify to take account of inflation</t>
  </si>
  <si>
    <t>(5): Specify in the range 25 - 150 mm</t>
  </si>
  <si>
    <t>(4): Specify in the range 20 - 600 mm</t>
  </si>
  <si>
    <t>(3): Specify in the range 30 - 280 mm. with 10 mm. intervals</t>
  </si>
  <si>
    <t>(2): Specify in rounded numbers</t>
  </si>
  <si>
    <t>(1): Specify in the range 10 - 900 mm</t>
  </si>
  <si>
    <t>Year of source data (8):</t>
  </si>
  <si>
    <t>per year.</t>
  </si>
  <si>
    <t>Inflation rate (7):</t>
  </si>
  <si>
    <t>Current calendar year (6):</t>
  </si>
  <si>
    <t>(5)</t>
  </si>
  <si>
    <t>mm.</t>
  </si>
  <si>
    <t>Thickness insulation:</t>
  </si>
  <si>
    <t>euro</t>
  </si>
  <si>
    <t>Indexated costs:</t>
  </si>
  <si>
    <t>2.</t>
  </si>
  <si>
    <t>(2)</t>
  </si>
  <si>
    <t>(meter)</t>
  </si>
  <si>
    <t>Length:</t>
  </si>
  <si>
    <t>Costs:</t>
  </si>
  <si>
    <t>1.</t>
  </si>
  <si>
    <t>(4)</t>
  </si>
  <si>
    <t>Diameter:</t>
  </si>
  <si>
    <t>If not applicable, then set Length= 0 meter</t>
  </si>
  <si>
    <t>COLD INSULATION:</t>
  </si>
  <si>
    <t>(3)</t>
  </si>
  <si>
    <t>(1)</t>
  </si>
  <si>
    <t>HOT INSULATION:</t>
  </si>
  <si>
    <t>OUTPUT</t>
  </si>
  <si>
    <t>INPUT</t>
  </si>
  <si>
    <t>COSTS  OF  INSULATION</t>
  </si>
  <si>
    <t>(6): This is the year to which the source data are related.</t>
  </si>
  <si>
    <t>(5): Average inflation rate since the year of source data (6)</t>
  </si>
  <si>
    <t>(4): Specify to take account of inflation</t>
  </si>
  <si>
    <t>(9): These costs refer to jobs taking more than 2 weeks</t>
  </si>
  <si>
    <t>(3): Specify to account for extra renting costs if duration &gt; 2 weeks</t>
  </si>
  <si>
    <t>(8): These costs refer to jobs taking less than 2 weeks</t>
  </si>
  <si>
    <t>(2): Specify in the range 1 - 30 meter</t>
  </si>
  <si>
    <r>
      <t>(7): The resulting floor area should not exceed 36 m</t>
    </r>
    <r>
      <rPr>
        <sz val="10"/>
        <rFont val="Trebuchet MS"/>
        <family val="2"/>
      </rPr>
      <t>²</t>
    </r>
  </si>
  <si>
    <t>(1): Specify in rounded numbers</t>
  </si>
  <si>
    <t>Year of source data (6):</t>
  </si>
  <si>
    <t>Inflation rate (5):</t>
  </si>
  <si>
    <t>Current calendar year (4):</t>
  </si>
  <si>
    <t>3.</t>
  </si>
  <si>
    <t>(1)(3)</t>
  </si>
  <si>
    <t>(weeks)</t>
  </si>
  <si>
    <t>Total time of use:</t>
  </si>
  <si>
    <t>(9)</t>
  </si>
  <si>
    <t>Costs if job takes &gt; 2 weeks:</t>
  </si>
  <si>
    <t>Width:</t>
  </si>
  <si>
    <t>(8)</t>
  </si>
  <si>
    <t>(1)(2)</t>
  </si>
  <si>
    <t>Height:</t>
  </si>
  <si>
    <t>(7)</t>
  </si>
  <si>
    <r>
      <t>m</t>
    </r>
    <r>
      <rPr>
        <sz val="10"/>
        <rFont val="Trebuchet MS"/>
        <family val="2"/>
      </rPr>
      <t>²</t>
    </r>
  </si>
  <si>
    <t>Resulting floor area:</t>
  </si>
  <si>
    <t>COSTS  OF  SCAFFOLDING</t>
  </si>
  <si>
    <t>DIAM</t>
  </si>
  <si>
    <t>THICKNESS</t>
  </si>
  <si>
    <t>Resulting price:</t>
  </si>
  <si>
    <t>and resulting column  number:</t>
  </si>
  <si>
    <t>Search value Thickness</t>
  </si>
  <si>
    <t>and resulting row number:</t>
  </si>
  <si>
    <t>Search value Diameter</t>
  </si>
  <si>
    <t>Supply and mounting of new insulation (with Aluminum sheeting for warm insulation)</t>
  </si>
  <si>
    <t>BASE PRICE PER METER PIPING</t>
  </si>
  <si>
    <t>PRICES INSULATION WORK IN EURO</t>
  </si>
  <si>
    <t>M</t>
  </si>
  <si>
    <t>FLOOR AREA  IN M2</t>
  </si>
  <si>
    <t>HEIGHT</t>
  </si>
  <si>
    <t xml:space="preserve"> </t>
  </si>
  <si>
    <t>PRICES FOR ADDITIONAL RENT PER WEEK</t>
  </si>
  <si>
    <t>20-04-2004</t>
  </si>
  <si>
    <t xml:space="preserve">Datum </t>
  </si>
  <si>
    <t>BASE PRICE INCLUDING 2 WEEKS RENT</t>
  </si>
  <si>
    <t>PRICES SCAFFOLDING IN EURO</t>
  </si>
  <si>
    <t>Scheidings tab voor achterliggende kostenberekening.</t>
  </si>
  <si>
    <t>Dit is een scheidingsblad naar gebruikte achterliggende informatie.</t>
  </si>
  <si>
    <t>Vanuit de tab's die hiervóór liggen, wordt naar de achterliggende tabs verwezen.</t>
  </si>
  <si>
    <t>In de achterliggende bladen is de referentie informatie vastgelegd waar gebruik van is gemaakt.</t>
  </si>
  <si>
    <t>Uitwerking: Werkgroep NDT Effectiviteit.</t>
  </si>
  <si>
    <t>Dit betreft alléén de casus bij gebruik van een maatwerk NDT aanpak.</t>
  </si>
  <si>
    <t>Die gegevens voor die aanpak zijn vastgelegd in het onderste deel van de tab [Scenario's].</t>
  </si>
  <si>
    <t>BEREKENING KOSTEN VAN STEIGERBOUW EN ISOLATIE (Warmte- of koude-isolatie).</t>
  </si>
  <si>
    <t>E</t>
  </si>
  <si>
    <t>D</t>
  </si>
  <si>
    <t>C</t>
  </si>
  <si>
    <t>B</t>
  </si>
  <si>
    <t>A</t>
  </si>
  <si>
    <t>Dekking:</t>
  </si>
  <si>
    <t>Red.factor:</t>
  </si>
  <si>
    <t>Eff. klasse:</t>
  </si>
  <si>
    <t>Referentie tabel:</t>
  </si>
  <si>
    <t>Aanname: afwijking is toelaatbaar (anders is die sowieso "niet goed")</t>
  </si>
  <si>
    <t>Toegepaste mate van dekking (%  "hot spots") gemeten:</t>
  </si>
  <si>
    <t>&gt;&gt; Dit betreft één bemeten locatie.</t>
  </si>
  <si>
    <t>Reductiefactor voor de faalkans:</t>
  </si>
  <si>
    <t>NDO Techniek:</t>
  </si>
  <si>
    <t>Typical:</t>
  </si>
  <si>
    <t>Wat is dan de reductie in die PoF met een gehanteerde techniek?</t>
  </si>
  <si>
    <t>Op moment T is sprake van een dusdanig gebruiksduur, dat in de gegeven omstandigheden de conditie van de geïsoleerde component door corrosie dusdanig aangetast zou kunnen zijn, dat falen ophanden is danwel "normatief falen" als is opgetreden (er wordt niet meer aan de minimum wanddikte eis voldaan).</t>
  </si>
  <si>
    <t>Uitgangspunt:</t>
  </si>
  <si>
    <t>?? "met of zonder uitpakken"; maakt toch een groot verschil?</t>
  </si>
  <si>
    <t>RT is "Radiographic Technique", dus met gebruik van een stralingsbron.</t>
  </si>
  <si>
    <t>C is "Contour", dus met inzet van een scan rondom.</t>
  </si>
  <si>
    <t>DDR = "Direct Digital Recording", dus met inzet digitale techniek.</t>
  </si>
  <si>
    <t>Voor de dekking van het oppervlak bij toepassing van een techniek, wordt uitgegaan van 100% visuele inspectie ter bepaling van "hot spots"(risicoplaatsen), met daarnaast in geval van de volgende effectiviteits categorieën:
Het volgende percentage dekking van de hot-spots:
Cat.A: 100%; B: &gt;65%; C: &gt;35%; D: &gt; 5%.</t>
  </si>
  <si>
    <t>Uitgangspunten qua dekking:</t>
  </si>
  <si>
    <t>In hoeverre de met een techniek te behalen risicoreductie van voldoende is, zal in de specifieke bedrijfssituatie dan bekeken moeten worden.</t>
  </si>
  <si>
    <t>Afhankelijk van het soort van proces, variëren dan de gevolgen.</t>
  </si>
  <si>
    <t>Het behalen van de minimaal toelaatbare wanddikte, waardoor een kans op perforatie en mogelijk een catastrofale breuk ontstaat.</t>
  </si>
  <si>
    <t>Faalcriterium:</t>
  </si>
  <si>
    <t>Opmerking (m.b.t. techniek in relatie tot typical(s))</t>
  </si>
  <si>
    <r>
      <t xml:space="preserve">1): middels corrosieproduct op support (verondersteld </t>
    </r>
    <r>
      <rPr>
        <sz val="10"/>
        <color theme="1"/>
        <rFont val="Wingdings 3"/>
        <family val="1"/>
        <charset val="2"/>
      </rPr>
      <t>Ó</t>
    </r>
    <r>
      <rPr>
        <sz val="11"/>
        <color theme="1"/>
        <rFont val="Calibri"/>
        <family val="2"/>
        <scheme val="minor"/>
      </rPr>
      <t>)</t>
    </r>
  </si>
  <si>
    <t>Opmerking (mbt typical voor techniek):</t>
  </si>
  <si>
    <t>Een techniek heeft een bepaalde kans om schade te detecteren.
Na beoordeling volgt, als daar aanleiding voor is, een 2-de beoordeling waarbij middels wanddiktemetingen de toestand wordt beoordeeld.
De betrouwbaarheid van die (follow-up)beoordeling wordt hier niet meegenomen aangezien in dát geval de isolatie lokaal al is verwijderd; de effectiviteit om "door de isolatie heen te kijken" is dan al niet meer aan de orde.</t>
  </si>
  <si>
    <t>1) 	Visuele inspectie met of zonder uitpakken.</t>
  </si>
  <si>
    <t>Werkwijze:</t>
  </si>
  <si>
    <t>Kosten (Bronnen: zie Ref.):</t>
  </si>
  <si>
    <t>Techniek:</t>
  </si>
  <si>
    <t>Mate van detectie gevoeligheid van NDO techniek:</t>
  </si>
  <si>
    <t>Laag</t>
  </si>
  <si>
    <t>Hoog</t>
  </si>
  <si>
    <t>&lt;&lt; Gevoeligheid zoals gesteld voor de betreffende techniek.</t>
  </si>
  <si>
    <t>&lt;&lt; Het gemak waarmee de te inspecteren locatie bereikt kan worden (op componentniveau).</t>
  </si>
  <si>
    <t>Toegankelijkheids drempel (laag=Makkelijke toegang):</t>
  </si>
  <si>
    <t>Lengte van de tijdsduur van het gebruik van de steiger (2 weken is standaard):</t>
  </si>
  <si>
    <t>Hoogte van de steiger:</t>
  </si>
  <si>
    <t>Breedte van de steiger:</t>
  </si>
  <si>
    <t>Soort van isolatiemateriaal:</t>
  </si>
  <si>
    <t>Lengte van de leiding is gesteld op 100 meter (wordt op tab [scenario's] omgezet in werkelijke lengte)</t>
  </si>
  <si>
    <t>Warmte isolatie</t>
  </si>
  <si>
    <t>Diameter van de te isoleren leiding (buitendiameter zonder isolatie, in mm.):</t>
  </si>
  <si>
    <t>Dikte van de toe te passen isolatielaag (in mm.)</t>
  </si>
  <si>
    <t>De typical die (op basis van alle inzichten) bepalend is in deze situatie:</t>
  </si>
  <si>
    <r>
      <t>Reductiefactor: effect van scenario op de kans, uitgaand van mogelijk normfalen (mogelijk D</t>
    </r>
    <r>
      <rPr>
        <vertAlign val="subscript"/>
        <sz val="11"/>
        <color theme="1"/>
        <rFont val="Calibri"/>
        <family val="2"/>
        <scheme val="minor"/>
      </rPr>
      <t>min</t>
    </r>
    <r>
      <rPr>
        <sz val="11"/>
        <color theme="1"/>
        <rFont val="Calibri"/>
        <family val="2"/>
        <scheme val="minor"/>
      </rPr>
      <t xml:space="preserve"> bereikt):</t>
    </r>
  </si>
  <si>
    <t>Ja</t>
  </si>
  <si>
    <t>Maatwerk met (specifieke NDO techniek; herisolatie/steigerbouw) voor specifiek probleem</t>
  </si>
  <si>
    <t>Optie
Steiger</t>
  </si>
  <si>
    <t>Optie
NDT</t>
  </si>
  <si>
    <t>Optie
Effect</t>
  </si>
  <si>
    <t>Optie
Isolatie</t>
  </si>
  <si>
    <t>Lengte van de steiger (zoals benodigd voor per 100 meter leiding):</t>
  </si>
  <si>
    <t>Waarschijnlijkheids categorie         (kans van zeer onwaarschijnlijk tot zeer waarschijnlijk; 1 t/m 5)</t>
  </si>
  <si>
    <t>Ernst categorie                                    (A -verwaarloosbaar- t/m E -desastreus- oftewel Cat. 1 t/m Cat. 5)</t>
  </si>
  <si>
    <t>probability  x  consequence  x  years</t>
  </si>
  <si>
    <t>CUI is doorgegaan tot het niveau van "niets doen" met kans op lekkage + reparatie + schade</t>
  </si>
  <si>
    <t>Uitgangspunt in dit scenario is, dat deze kostenpost zich jaarlijks herhaalt en vanuit het leidingsysteem omgerekend is naar 100 meter lengte.</t>
  </si>
  <si>
    <t>Vervanging:</t>
  </si>
  <si>
    <t>Herhaling:</t>
  </si>
  <si>
    <t>Het effect van het doorrekenen van deze optie, indien geselecteerd, op de bij scenario [Storing en reparatie] berekende kosten:</t>
  </si>
  <si>
    <t>Totale instandhoudings kosten over de levensduur:</t>
  </si>
  <si>
    <t>Werkwijze: vul in kolom C, in het grijs-roze gedeelte, de leidinglengtes in die van toepassing zijn bij de in kolom B ingevulde leiding(systemen).
De daarbij behorende kosten, wanneer één van de vier scenario's wordt toegepast, zijn dan in de volgende kolommen weergegeven.</t>
  </si>
  <si>
    <r>
      <rPr>
        <b/>
        <sz val="14"/>
        <color theme="1"/>
        <rFont val="Calibri"/>
        <family val="2"/>
        <scheme val="minor"/>
      </rPr>
      <t>Dit tab bevat een uitwerking van de kosten van diverse beheersscenario's.</t>
    </r>
    <r>
      <rPr>
        <sz val="11"/>
        <color theme="1"/>
        <rFont val="Calibri"/>
        <family val="2"/>
        <scheme val="minor"/>
      </rPr>
      <t xml:space="preserve">
Deze kostenbeoordeling richt zich op de kosten over de resterende levensduur.
De kosten en effecten van de toegepaste wijze van beheer komen in de totale kosten over de levensduur tot uiting.
Dat is een beoordeling op basis van "life cycle costing".
In dit spreadsheet zijn op bepaalde plaatsen keuze opties aanwezig.
Door in een cel te gaan staan wordt toegelicht wat daarbij mogelijk is.</t>
    </r>
  </si>
  <si>
    <r>
      <rPr>
        <b/>
        <sz val="11"/>
        <color theme="1"/>
        <rFont val="Calibri"/>
        <family val="2"/>
        <scheme val="minor"/>
      </rPr>
      <t>Som van de kosten over de levensduur</t>
    </r>
    <r>
      <rPr>
        <sz val="11"/>
        <color theme="1"/>
        <rFont val="Calibri"/>
        <family val="2"/>
        <scheme val="minor"/>
      </rPr>
      <t xml:space="preserve"> (zonder kapitaallasten) (opbrengst = negatief getal) met geselecteerde opties:</t>
    </r>
  </si>
  <si>
    <t>11) Neutron Backscatter (tbv vochtdetectie)</t>
  </si>
  <si>
    <t>Kans op "niet goed" (er is een afwijking gevonden die niet reëel is):</t>
  </si>
  <si>
    <t>Aftakkingen op leidingen &gt; DN250 en op vatwanden</t>
  </si>
  <si>
    <t>Aftakkingen op leidingen ≤  DN250</t>
  </si>
  <si>
    <t>Brandwerende bekleding in het algemeen</t>
  </si>
  <si>
    <t>Oplegging/Ondersteuning (*)</t>
  </si>
  <si>
    <t>Rechte leidingen &gt; DN250 en vatwanden</t>
  </si>
  <si>
    <t>Rechte leidingen ≤ DN250</t>
  </si>
  <si>
    <t>2) On stream RT (film)</t>
  </si>
  <si>
    <t>4) Profile radiografie</t>
  </si>
  <si>
    <t>5) Guided Waves / Long Range UT</t>
  </si>
  <si>
    <t>6)  PEC / PEC Array</t>
  </si>
  <si>
    <t>7) In-line inspection (intelligent pigging)</t>
  </si>
  <si>
    <t>8) Ultrasone wanddikte meting</t>
  </si>
  <si>
    <t>9) UT C-scan mapping</t>
  </si>
  <si>
    <t>10) Thermografie</t>
  </si>
  <si>
    <t>3) On stream RT (digitaal)</t>
  </si>
  <si>
    <t>De beschrijving van de gebruikte onderdelen om het risico vast te stellen, kan nagelezen worden in die tool.</t>
  </si>
  <si>
    <t>Uitgangspunt: Effect van scenario op de kans: van niveau 4 naar niveau 2</t>
  </si>
  <si>
    <t>Uitgangspunt: Effect van scenario op de kans: van niveau 4 naar niveau 1</t>
  </si>
  <si>
    <t>Doordat deze ontwikkelingen nu nog geen "bewezen praktijk" vormen zijn die nu nog niet meegenomen in deze best practise.</t>
  </si>
  <si>
    <r>
      <rPr>
        <b/>
        <sz val="11"/>
        <color theme="1"/>
        <rFont val="Calibri"/>
        <family val="2"/>
        <scheme val="minor"/>
      </rPr>
      <t>Toelichting</t>
    </r>
    <r>
      <rPr>
        <sz val="11"/>
        <color theme="1"/>
        <rFont val="Calibri"/>
        <family val="2"/>
        <scheme val="minor"/>
      </rPr>
      <t>: Deze gegevens dienen als uitgangspunt voor de kostenschatting.</t>
    </r>
  </si>
  <si>
    <r>
      <t xml:space="preserve">Met </t>
    </r>
    <r>
      <rPr>
        <sz val="11"/>
        <color rgb="FFFF0000"/>
        <rFont val="Calibri"/>
        <family val="2"/>
        <scheme val="minor"/>
      </rPr>
      <t>visuele inspectie</t>
    </r>
    <r>
      <rPr>
        <sz val="11"/>
        <color theme="1"/>
        <rFont val="Calibri"/>
        <family val="2"/>
        <scheme val="minor"/>
      </rPr>
      <t xml:space="preserve"> wordt bedoeld: inspectie uitwendig onbekleed (dus isolatie verwijderd; steigers nodig)</t>
    </r>
  </si>
  <si>
    <r>
      <t xml:space="preserve">Met </t>
    </r>
    <r>
      <rPr>
        <sz val="11"/>
        <color rgb="FFFF0000"/>
        <rFont val="Calibri"/>
        <family val="2"/>
        <scheme val="minor"/>
      </rPr>
      <t>screening inspectie</t>
    </r>
    <r>
      <rPr>
        <sz val="11"/>
        <color theme="1"/>
        <rFont val="Calibri"/>
        <family val="2"/>
        <scheme val="minor"/>
      </rPr>
      <t xml:space="preserve"> wordt bedoeld: inspectie mbt NDO techniek (géén steigerbouw nodig).</t>
    </r>
  </si>
  <si>
    <t>De asset owner kan hiermee bepalen welke vorm van onderhoud of modificatie naar verwachting het meest kosteneffectief is.</t>
  </si>
  <si>
    <t>Tool: Kostenanalyse onderhoudsscenarios</t>
  </si>
  <si>
    <t>Dit werkblad bevat een kosten berekening voor bepaling van het kostentechnisch gunstigste manier om CUI te managen.</t>
  </si>
  <si>
    <t>In deze uitwerking is gebruik gemaakt van een "default" (standaard) risk based aanpak, met behulp van "de RB-CUI management tool".</t>
  </si>
  <si>
    <t>Dit hulpmiddel is ontwikkeld voor diegenen die (a) nog geen aanpak  hebben of (b) de eigen aanpak tegen het licht willen houden.</t>
  </si>
  <si>
    <t>Deze tool heeft ook als functie om de praktijkgerichtheid van het WCM project-eindresultaat te toetsen.</t>
  </si>
  <si>
    <t>In de berekeningen is uitgegaan van één standaard leidinglengte als basis voor de kostenberekening.</t>
  </si>
  <si>
    <t>Huidig risico niveau:</t>
  </si>
  <si>
    <r>
      <t xml:space="preserve">Gegevens over de toe te passen </t>
    </r>
    <r>
      <rPr>
        <b/>
        <sz val="11"/>
        <color theme="1"/>
        <rFont val="Calibri"/>
        <family val="2"/>
        <scheme val="minor"/>
      </rPr>
      <t>NDT</t>
    </r>
    <r>
      <rPr>
        <sz val="11"/>
        <color theme="1"/>
        <rFont val="Calibri"/>
        <family val="2"/>
        <scheme val="minor"/>
      </rPr>
      <t xml:space="preserve"> Techniek (alles per 100 meter):</t>
    </r>
  </si>
  <si>
    <t>Blok toepassen:</t>
  </si>
  <si>
    <r>
      <t xml:space="preserve">Begrote </t>
    </r>
    <r>
      <rPr>
        <b/>
        <sz val="11"/>
        <color theme="1"/>
        <rFont val="Calibri"/>
        <family val="2"/>
        <scheme val="minor"/>
      </rPr>
      <t>effectiviteit</t>
    </r>
    <r>
      <rPr>
        <sz val="11"/>
        <color theme="1"/>
        <rFont val="Calibri"/>
        <family val="2"/>
        <scheme val="minor"/>
      </rPr>
      <t xml:space="preserve"> van de toegepaste techniek met de aanwezige schadevorm (schade "typical"):</t>
    </r>
  </si>
  <si>
    <r>
      <t xml:space="preserve">Gegevens over </t>
    </r>
    <r>
      <rPr>
        <b/>
        <sz val="11"/>
        <color theme="1"/>
        <rFont val="Calibri"/>
        <family val="2"/>
        <scheme val="minor"/>
      </rPr>
      <t xml:space="preserve">benodigd steiger materieel </t>
    </r>
    <r>
      <rPr>
        <sz val="11"/>
        <color theme="1"/>
        <rFont val="Calibri"/>
        <family val="2"/>
        <scheme val="minor"/>
      </rPr>
      <t>(alles omgerekend naar 100 meter leidinglengte):</t>
    </r>
  </si>
  <si>
    <r>
      <t xml:space="preserve">Gegevens over toe te passen </t>
    </r>
    <r>
      <rPr>
        <b/>
        <sz val="11"/>
        <color theme="1"/>
        <rFont val="Calibri"/>
        <family val="2"/>
        <scheme val="minor"/>
      </rPr>
      <t>NIEUW isolatiemateriaal</t>
    </r>
    <r>
      <rPr>
        <sz val="11"/>
        <color theme="1"/>
        <rFont val="Calibri"/>
        <family val="2"/>
        <scheme val="minor"/>
      </rPr>
      <t xml:space="preserve"> (niet invullen bij hergebruik van materiaal):</t>
    </r>
  </si>
  <si>
    <t>1) 	Visuele inspectie met uitpakken.</t>
  </si>
  <si>
    <t>Update 13 November 2019.</t>
  </si>
  <si>
    <r>
      <t xml:space="preserve">Score betreft SCHADE-detectie.
</t>
    </r>
    <r>
      <rPr>
        <sz val="10"/>
        <color rgb="FFFF0000"/>
        <rFont val="Trebuchet MS"/>
        <family val="2"/>
      </rPr>
      <t>Effectiviteitsscore voor vochtdetectie (!preventief!) ntb.</t>
    </r>
  </si>
  <si>
    <r>
      <t xml:space="preserve">Betreft schade-detectie.
</t>
    </r>
    <r>
      <rPr>
        <sz val="10"/>
        <color rgb="FFFF0000"/>
        <rFont val="Trebuchet MS"/>
        <family val="2"/>
      </rPr>
      <t>Effectiviteitsscore voor vochtdetectie nader te bepalen (ntb).</t>
    </r>
  </si>
  <si>
    <t>(*): de waardering is sterk afhankelijk van het type support</t>
  </si>
  <si>
    <t>Aantal aanvullende metingen per 100 meter leiding (segment):</t>
  </si>
  <si>
    <t>Bovenstaande kosten zijn gecorrigeerd naar 100 meter.</t>
  </si>
  <si>
    <t>Leiding: 4" bypassleiding</t>
  </si>
  <si>
    <t>6" stoomleiding</t>
  </si>
  <si>
    <t>6" transportleiding</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</si>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</sst>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0">
    <numFmt numFmtId="164" formatCode="#,##0&quot; m.&quot;"/>
    <numFmt numFmtId="165" formatCode="#,##0&quot; jaren&quot;"/>
    <numFmt numFmtId="166" formatCode="0.0&quot; mm/jr.&quot;"/>
    <numFmt numFmtId="167" formatCode="#,##0&quot; mm.&quot;"/>
    <numFmt numFmtId="168" formatCode="0&quot; mm.&quot;"/>
    <numFmt numFmtId="169" formatCode="&quot;Scenario: &quot;@"/>
    <numFmt numFmtId="170" formatCode="#,##0&quot; €&quot;"/>
    <numFmt numFmtId="171" formatCode="0&quot; Jr.&quot;"/>
    <numFmt numFmtId="172" formatCode="&quot;Kans-Cat. &quot;0"/>
    <numFmt numFmtId="173" formatCode="&quot;Gevolg-Cat. &quot;0"/>
    <numFmt numFmtId="174" formatCode="&quot;Totaal: rij: &quot;#,##0"/>
    <numFmt numFmtId="175" formatCode="&quot;Leiding: &quot;@"/>
    <numFmt numFmtId="176" formatCode="0&quot; m.&quot;"/>
    <numFmt numFmtId="177" formatCode="#,##0&quot;€ &quot;"/>
    <numFmt numFmtId="178" formatCode="#,##0&quot; €.&quot;"/>
    <numFmt numFmtId="179" formatCode="#,##0&quot; €/jr.&quot;"/>
    <numFmt numFmtId="180" formatCode="&quot;Ref. &quot;0"/>
    <numFmt numFmtId="181" formatCode="0.0&quot;%&quot;"/>
    <numFmt numFmtId="182" formatCode="0&quot; w.&quot;"/>
    <numFmt numFmtId="183" formatCode="0&quot; €/m.&quot;"/>
    <numFmt numFmtId="184" formatCode="#,##0.00_ &quot;€/m.&quot;;[Red]\-#,##0.00\ &quot;€/m.&quot;"/>
    <numFmt numFmtId="185" formatCode="0.0%"/>
    <numFmt numFmtId="186" formatCode="0.0"/>
    <numFmt numFmtId="187" formatCode="&quot;Mate van detectie gevoeligheid van NDO techniek: &quot;@"/>
    <numFmt numFmtId="188" formatCode="&quot;Toegankelijkheids drempel (laag=Makkelijke toegang): &quot;@"/>
    <numFmt numFmtId="189" formatCode="#,##0&quot; week/weken&quot;"/>
    <numFmt numFmtId="190" formatCode="#,##0&quot; mm&quot;"/>
    <numFmt numFmtId="191" formatCode="#,##0_ &quot; €&quot;;[Red]\-#,##0\ &quot; €&quot;"/>
    <numFmt numFmtId="192" formatCode="&quot;Max. &quot;#,##0&quot; k€&quot;"/>
    <numFmt numFmtId="193" formatCode="#,##0&quot; €/segment&quot;"/>
  </numFmts>
  <fonts count="65" x14ac:knownFonts="1">
    <font>
      <sz val="11"/>
      <color theme="1"/>
      <name val="Calibri"/>
      <family val="2"/>
      <scheme val="minor"/>
    </font>
    <font>
      <sz val="10"/>
      <color theme="1"/>
      <name val="Trebuchet MS"/>
      <family val="2"/>
    </font>
    <font>
      <sz val="10"/>
      <color theme="1"/>
      <name val="Trebuchet MS"/>
      <family val="2"/>
    </font>
    <font>
      <sz val="10"/>
      <color theme="1"/>
      <name val="Trebuchet MS"/>
      <family val="2"/>
    </font>
    <font>
      <sz val="10"/>
      <color theme="1"/>
      <name val="Trebuchet MS"/>
      <family val="2"/>
    </font>
    <font>
      <sz val="10"/>
      <color theme="1"/>
      <name val="Trebuchet MS"/>
      <family val="2"/>
    </font>
    <font>
      <sz val="10"/>
      <color theme="1"/>
      <name val="Trebuchet MS"/>
      <family val="2"/>
    </font>
    <font>
      <sz val="10"/>
      <color theme="1"/>
      <name val="Trebuchet MS"/>
      <family val="2"/>
    </font>
    <font>
      <sz val="10"/>
      <color theme="1"/>
      <name val="Trebuchet MS"/>
      <family val="2"/>
    </font>
    <font>
      <sz val="10"/>
      <color theme="1"/>
      <name val="Trebuchet MS"/>
      <family val="2"/>
    </font>
    <font>
      <b/>
      <sz val="11"/>
      <color theme="1"/>
      <name val="Calibri"/>
      <family val="2"/>
      <scheme val="minor"/>
    </font>
    <font>
      <sz val="11"/>
      <color theme="1"/>
      <name val="Calibri"/>
      <family val="2"/>
      <scheme val="minor"/>
    </font>
    <font>
      <sz val="11"/>
      <color theme="1"/>
      <name val="Trebuchet MS"/>
      <family val="2"/>
    </font>
    <font>
      <b/>
      <sz val="14"/>
      <color theme="1"/>
      <name val="Calibri"/>
      <family val="2"/>
      <scheme val="minor"/>
    </font>
    <font>
      <i/>
      <sz val="10"/>
      <color theme="1"/>
      <name val="Calibri"/>
      <family val="2"/>
      <scheme val="minor"/>
    </font>
    <font>
      <sz val="10"/>
      <color rgb="FF3F3F76"/>
      <name val="Trebuchet MS"/>
      <family val="2"/>
    </font>
    <font>
      <b/>
      <sz val="10"/>
      <color rgb="FF3F3F3F"/>
      <name val="Trebuchet MS"/>
      <family val="2"/>
    </font>
    <font>
      <b/>
      <sz val="10"/>
      <color theme="1"/>
      <name val="Trebuchet MS"/>
      <family val="2"/>
    </font>
    <font>
      <sz val="10"/>
      <color theme="0"/>
      <name val="Trebuchet MS"/>
      <family val="2"/>
    </font>
    <font>
      <i/>
      <sz val="11"/>
      <color theme="1"/>
      <name val="Calibri"/>
      <family val="2"/>
      <scheme val="minor"/>
    </font>
    <font>
      <sz val="8"/>
      <color theme="1"/>
      <name val="Calibri"/>
      <family val="2"/>
      <scheme val="minor"/>
    </font>
    <font>
      <b/>
      <sz val="12"/>
      <color theme="1"/>
      <name val="Calibri"/>
      <family val="2"/>
      <scheme val="minor"/>
    </font>
    <font>
      <b/>
      <sz val="20"/>
      <color theme="1"/>
      <name val="Trebuchet MS"/>
      <family val="2"/>
    </font>
    <font>
      <b/>
      <sz val="9"/>
      <color theme="1"/>
      <name val="Trebuchet MS"/>
      <family val="2"/>
    </font>
    <font>
      <sz val="9"/>
      <color theme="1"/>
      <name val="Trebuchet MS"/>
      <family val="2"/>
    </font>
    <font>
      <sz val="10"/>
      <name val="Trebuchet MS"/>
      <family val="2"/>
    </font>
    <font>
      <sz val="8.5"/>
      <name val="Trebuchet MS"/>
      <family val="2"/>
    </font>
    <font>
      <i/>
      <sz val="10"/>
      <color theme="1"/>
      <name val="Trebuchet MS"/>
      <family val="2"/>
    </font>
    <font>
      <sz val="10"/>
      <name val="Arial"/>
      <family val="2"/>
    </font>
    <font>
      <b/>
      <sz val="10"/>
      <name val="Arial"/>
      <family val="2"/>
    </font>
    <font>
      <b/>
      <sz val="10"/>
      <color indexed="10"/>
      <name val="Arial"/>
      <family val="2"/>
    </font>
    <font>
      <sz val="9"/>
      <color indexed="8"/>
      <name val="Arial"/>
      <family val="2"/>
    </font>
    <font>
      <b/>
      <sz val="10"/>
      <color indexed="8"/>
      <name val="Arial"/>
      <family val="2"/>
    </font>
    <font>
      <sz val="12"/>
      <name val="Arial"/>
      <family val="2"/>
    </font>
    <font>
      <sz val="12"/>
      <color indexed="8"/>
      <name val="Arial"/>
      <family val="2"/>
    </font>
    <font>
      <sz val="10"/>
      <color indexed="10"/>
      <name val="Arial"/>
      <family val="2"/>
    </font>
    <font>
      <sz val="11"/>
      <name val="Arial"/>
      <family val="2"/>
    </font>
    <font>
      <sz val="12"/>
      <color indexed="10"/>
      <name val="Arial"/>
      <family val="2"/>
    </font>
    <font>
      <sz val="10"/>
      <color indexed="12"/>
      <name val="Arial"/>
      <family val="2"/>
    </font>
    <font>
      <sz val="11"/>
      <color indexed="10"/>
      <name val="Arial"/>
      <family val="2"/>
    </font>
    <font>
      <sz val="9"/>
      <name val="Arial"/>
      <family val="2"/>
    </font>
    <font>
      <sz val="8"/>
      <name val="Arial"/>
      <family val="2"/>
    </font>
    <font>
      <sz val="9"/>
      <color indexed="10"/>
      <name val="Arial"/>
      <family val="2"/>
    </font>
    <font>
      <b/>
      <sz val="11"/>
      <name val="Arial"/>
      <family val="2"/>
    </font>
    <font>
      <b/>
      <sz val="10"/>
      <color indexed="12"/>
      <name val="Arial"/>
      <family val="2"/>
    </font>
    <font>
      <b/>
      <sz val="9"/>
      <color indexed="8"/>
      <name val="Arial"/>
      <family val="2"/>
    </font>
    <font>
      <sz val="8"/>
      <color indexed="8"/>
      <name val="Arial"/>
      <family val="2"/>
    </font>
    <font>
      <b/>
      <sz val="9"/>
      <name val="Arial"/>
      <family val="2"/>
    </font>
    <font>
      <b/>
      <sz val="14"/>
      <name val="Arial"/>
      <family val="2"/>
    </font>
    <font>
      <b/>
      <sz val="10"/>
      <color rgb="FF000000"/>
      <name val="Trebuchet MS"/>
      <family val="2"/>
    </font>
    <font>
      <sz val="10"/>
      <color rgb="FF000000"/>
      <name val="Trebuchet MS"/>
      <family val="2"/>
    </font>
    <font>
      <sz val="10"/>
      <color theme="1"/>
      <name val="Wingdings 3"/>
      <family val="1"/>
      <charset val="2"/>
    </font>
    <font>
      <b/>
      <sz val="10"/>
      <color rgb="FFFF0000"/>
      <name val="Trebuchet MS"/>
      <family val="2"/>
    </font>
    <font>
      <b/>
      <sz val="9"/>
      <color indexed="81"/>
      <name val="Tahoma"/>
      <family val="2"/>
    </font>
    <font>
      <sz val="9"/>
      <color indexed="81"/>
      <name val="Tahoma"/>
      <family val="2"/>
    </font>
    <font>
      <sz val="10"/>
      <color theme="1" tint="0.499984740745262"/>
      <name val="Trebuchet MS"/>
      <family val="2"/>
    </font>
    <font>
      <vertAlign val="subscript"/>
      <sz val="11"/>
      <color theme="1"/>
      <name val="Calibri"/>
      <family val="2"/>
      <scheme val="minor"/>
    </font>
    <font>
      <sz val="9"/>
      <color indexed="81"/>
      <name val="Tahoma"/>
      <charset val="1"/>
    </font>
    <font>
      <b/>
      <sz val="9"/>
      <color indexed="81"/>
      <name val="Tahoma"/>
      <charset val="1"/>
    </font>
    <font>
      <sz val="11"/>
      <name val="Calibri"/>
      <family val="2"/>
      <scheme val="minor"/>
    </font>
    <font>
      <sz val="10"/>
      <color theme="1"/>
      <name val="Calibri"/>
      <family val="2"/>
      <scheme val="minor"/>
    </font>
    <font>
      <sz val="10"/>
      <color rgb="FFFF0000"/>
      <name val="Trebuchet MS"/>
      <family val="2"/>
    </font>
    <font>
      <sz val="11"/>
      <color rgb="FF3F3F76"/>
      <name val="Calibri"/>
      <family val="2"/>
      <scheme val="minor"/>
    </font>
    <font>
      <sz val="11"/>
      <color rgb="FFFF0000"/>
      <name val="Calibri"/>
      <family val="2"/>
      <scheme val="minor"/>
    </font>
    <font>
      <b/>
      <sz val="12"/>
      <color theme="1"/>
      <name val="Trebuchet MS"/>
      <family val="2"/>
    </font>
  </fonts>
  <fills count="23">
    <fill>
      <patternFill patternType="none"/>
    </fill>
    <fill>
      <patternFill patternType="gray125"/>
    </fill>
    <fill>
      <gradientFill degree="90">
        <stop position="0">
          <color theme="0"/>
        </stop>
        <stop position="1">
          <color theme="0" tint="-0.1490218817712943"/>
        </stop>
      </gradientFill>
    </fill>
    <fill>
      <patternFill patternType="solid">
        <fgColor rgb="FFFFCC99"/>
      </patternFill>
    </fill>
    <fill>
      <patternFill patternType="solid">
        <fgColor rgb="FFF2F2F2"/>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gradientFill degree="270">
        <stop position="0">
          <color theme="4" tint="0.80001220740379042"/>
        </stop>
        <stop position="1">
          <color theme="4"/>
        </stop>
      </gradientFill>
    </fill>
    <fill>
      <patternFill patternType="solid">
        <fgColor rgb="FFFFCC99"/>
        <bgColor indexed="64"/>
      </patternFill>
    </fill>
    <fill>
      <patternFill patternType="solid">
        <fgColor rgb="FFE6E6E6"/>
        <bgColor indexed="64"/>
      </patternFill>
    </fill>
    <fill>
      <patternFill patternType="solid">
        <fgColor theme="4" tint="-0.249977111117893"/>
        <bgColor indexed="64"/>
      </patternFill>
    </fill>
    <fill>
      <patternFill patternType="solid">
        <fgColor rgb="FFF2F2F2"/>
        <bgColor indexed="64"/>
      </patternFill>
    </fill>
    <fill>
      <patternFill patternType="solid">
        <fgColor rgb="FFFFFF00"/>
        <bgColor indexed="64"/>
      </patternFill>
    </fill>
    <fill>
      <patternFill patternType="solid">
        <fgColor indexed="42"/>
        <bgColor indexed="64"/>
      </patternFill>
    </fill>
    <fill>
      <patternFill patternType="solid">
        <fgColor indexed="47"/>
        <bgColor indexed="64"/>
      </patternFill>
    </fill>
    <fill>
      <patternFill patternType="solid">
        <fgColor indexed="41"/>
        <bgColor indexed="64"/>
      </patternFill>
    </fill>
    <fill>
      <patternFill patternType="solid">
        <fgColor indexed="43"/>
        <bgColor indexed="64"/>
      </patternFill>
    </fill>
    <fill>
      <patternFill patternType="solid">
        <fgColor rgb="FFE4E4E4"/>
        <bgColor indexed="64"/>
      </patternFill>
    </fill>
    <fill>
      <gradientFill degree="90">
        <stop position="0">
          <color rgb="FFF2F2F2"/>
        </stop>
        <stop position="1">
          <color theme="4"/>
        </stop>
      </gradientFill>
    </fill>
    <fill>
      <patternFill patternType="solid">
        <fgColor theme="0" tint="-4.9989318521683403E-2"/>
        <bgColor indexed="64"/>
      </patternFill>
    </fill>
    <fill>
      <patternFill patternType="solid">
        <fgColor rgb="FFE4D0B2"/>
        <bgColor indexed="64"/>
      </patternFill>
    </fill>
    <fill>
      <patternFill patternType="solid">
        <fgColor rgb="FFE4CAB6"/>
        <bgColor indexed="64"/>
      </patternFill>
    </fill>
  </fills>
  <borders count="65">
    <border>
      <left/>
      <right/>
      <top/>
      <bottom/>
      <diagonal/>
    </border>
    <border>
      <left/>
      <right/>
      <top/>
      <bottom style="medium">
        <color auto="1"/>
      </bottom>
      <diagonal/>
    </border>
    <border>
      <left/>
      <right/>
      <top style="thin">
        <color auto="1"/>
      </top>
      <bottom/>
      <diagonal/>
    </border>
    <border>
      <left/>
      <right/>
      <top style="thin">
        <color auto="1"/>
      </top>
      <bottom style="medium">
        <color auto="1"/>
      </bottom>
      <diagonal/>
    </border>
    <border>
      <left/>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right/>
      <top style="thin">
        <color auto="1"/>
      </top>
      <bottom style="thin">
        <color auto="1"/>
      </bottom>
      <diagonal/>
    </border>
    <border>
      <left/>
      <right/>
      <top style="medium">
        <color auto="1"/>
      </top>
      <bottom/>
      <diagonal/>
    </border>
    <border>
      <left style="medium">
        <color auto="1"/>
      </left>
      <right/>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diagonal/>
    </border>
    <border>
      <left/>
      <right/>
      <top style="hair">
        <color auto="1"/>
      </top>
      <bottom/>
      <diagonal/>
    </border>
    <border>
      <left style="medium">
        <color auto="1"/>
      </left>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medium">
        <color auto="1"/>
      </right>
      <top style="thin">
        <color rgb="FF7F7F7F"/>
      </top>
      <bottom style="thin">
        <color rgb="FF7F7F7F"/>
      </bottom>
      <diagonal/>
    </border>
    <border>
      <left style="medium">
        <color theme="8" tint="0.39994506668294322"/>
      </left>
      <right/>
      <top style="medium">
        <color theme="8" tint="0.39994506668294322"/>
      </top>
      <bottom/>
      <diagonal/>
    </border>
    <border>
      <left/>
      <right/>
      <top style="medium">
        <color theme="8" tint="0.39994506668294322"/>
      </top>
      <bottom/>
      <diagonal/>
    </border>
    <border>
      <left/>
      <right style="medium">
        <color theme="8" tint="-0.499984740745262"/>
      </right>
      <top style="medium">
        <color theme="8" tint="0.39994506668294322"/>
      </top>
      <bottom/>
      <diagonal/>
    </border>
    <border>
      <left style="medium">
        <color theme="8" tint="0.39994506668294322"/>
      </left>
      <right/>
      <top/>
      <bottom/>
      <diagonal/>
    </border>
    <border>
      <left/>
      <right/>
      <top/>
      <bottom style="medium">
        <color theme="8" tint="-0.499984740745262"/>
      </bottom>
      <diagonal/>
    </border>
    <border>
      <left/>
      <right style="medium">
        <color theme="8" tint="-0.499984740745262"/>
      </right>
      <top/>
      <bottom/>
      <diagonal/>
    </border>
    <border>
      <left style="medium">
        <color theme="8" tint="0.39994506668294322"/>
      </left>
      <right style="medium">
        <color theme="8" tint="-0.499984740745262"/>
      </right>
      <top/>
      <bottom/>
      <diagonal/>
    </border>
    <border>
      <left style="medium">
        <color theme="8" tint="0.39994506668294322"/>
      </left>
      <right/>
      <top/>
      <bottom style="medium">
        <color theme="8" tint="-0.499984740745262"/>
      </bottom>
      <diagonal/>
    </border>
    <border>
      <left/>
      <right style="medium">
        <color theme="8" tint="-0.499984740745262"/>
      </right>
      <top/>
      <bottom style="medium">
        <color theme="8" tint="-0.499984740745262"/>
      </bottom>
      <diagonal/>
    </border>
    <border>
      <left style="thin">
        <color rgb="FF3F3F3F"/>
      </left>
      <right style="medium">
        <color auto="1"/>
      </right>
      <top style="thin">
        <color rgb="FF7F7F7F"/>
      </top>
      <bottom style="medium">
        <color auto="1"/>
      </bottom>
      <diagonal/>
    </border>
    <border>
      <left style="thin">
        <color rgb="FF7F7F7F"/>
      </left>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auto="1"/>
      </left>
      <right style="medium">
        <color auto="1"/>
      </right>
      <top/>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thin">
        <color auto="1"/>
      </left>
      <right style="medium">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diagonal/>
    </border>
    <border>
      <left style="thin">
        <color auto="1"/>
      </left>
      <right/>
      <top style="thin">
        <color auto="1"/>
      </top>
      <bottom style="medium">
        <color auto="1"/>
      </bottom>
      <diagonal/>
    </border>
    <border>
      <left style="thin">
        <color auto="1"/>
      </left>
      <right/>
      <top/>
      <bottom style="medium">
        <color auto="1"/>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3F3F3F"/>
      </left>
      <right/>
      <top/>
      <bottom/>
      <diagonal/>
    </border>
    <border diagonalUp="1" diagonalDown="1">
      <left/>
      <right/>
      <top/>
      <bottom/>
      <diagonal style="thin">
        <color theme="0" tint="-0.34998626667073579"/>
      </diagonal>
    </border>
    <border>
      <left/>
      <right style="medium">
        <color auto="1"/>
      </right>
      <top/>
      <bottom style="medium">
        <color auto="1"/>
      </bottom>
      <diagonal/>
    </border>
    <border>
      <left/>
      <right/>
      <top style="medium">
        <color auto="1"/>
      </top>
      <bottom style="thin">
        <color rgb="FF7F7F7F"/>
      </bottom>
      <diagonal/>
    </border>
    <border>
      <left/>
      <right style="medium">
        <color auto="1"/>
      </right>
      <top style="medium">
        <color auto="1"/>
      </top>
      <bottom style="thin">
        <color rgb="FF7F7F7F"/>
      </bottom>
      <diagonal/>
    </border>
    <border>
      <left/>
      <right/>
      <top style="thin">
        <color rgb="FF7F7F7F"/>
      </top>
      <bottom style="thin">
        <color rgb="FF7F7F7F"/>
      </bottom>
      <diagonal/>
    </border>
    <border>
      <left/>
      <right style="medium">
        <color auto="1"/>
      </right>
      <top style="thin">
        <color rgb="FF7F7F7F"/>
      </top>
      <bottom style="thin">
        <color rgb="FF7F7F7F"/>
      </bottom>
      <diagonal/>
    </border>
    <border>
      <left/>
      <right/>
      <top style="thin">
        <color rgb="FF7F7F7F"/>
      </top>
      <bottom style="medium">
        <color auto="1"/>
      </bottom>
      <diagonal/>
    </border>
    <border>
      <left/>
      <right style="medium">
        <color auto="1"/>
      </right>
      <top style="thin">
        <color rgb="FF7F7F7F"/>
      </top>
      <bottom/>
      <diagonal/>
    </border>
    <border>
      <left style="medium">
        <color auto="1"/>
      </left>
      <right/>
      <top style="medium">
        <color auto="1"/>
      </top>
      <bottom style="thin">
        <color rgb="FF7F7F7F"/>
      </bottom>
      <diagonal/>
    </border>
    <border>
      <left style="medium">
        <color auto="1"/>
      </left>
      <right/>
      <top style="thin">
        <color rgb="FF7F7F7F"/>
      </top>
      <bottom style="thin">
        <color rgb="FF7F7F7F"/>
      </bottom>
      <diagonal/>
    </border>
    <border>
      <left style="medium">
        <color auto="1"/>
      </left>
      <right/>
      <top style="thin">
        <color rgb="FF7F7F7F"/>
      </top>
      <bottom style="thin">
        <color auto="1"/>
      </bottom>
      <diagonal/>
    </border>
  </borders>
  <cellStyleXfs count="10">
    <xf numFmtId="0" fontId="0" fillId="0" borderId="0"/>
    <xf numFmtId="9" fontId="11" fillId="0" borderId="0" applyFont="0" applyFill="0" applyBorder="0" applyAlignment="0" applyProtection="0"/>
    <xf numFmtId="0" fontId="15" fillId="3" borderId="5" applyNumberFormat="0" applyAlignment="0" applyProtection="0"/>
    <xf numFmtId="0" fontId="16" fillId="4" borderId="6" applyNumberFormat="0" applyAlignment="0" applyProtection="0"/>
    <xf numFmtId="0" fontId="9" fillId="0" borderId="0"/>
    <xf numFmtId="0" fontId="28" fillId="0" borderId="0"/>
    <xf numFmtId="9" fontId="28" fillId="0" borderId="0" applyFont="0" applyFill="0" applyBorder="0" applyAlignment="0" applyProtection="0"/>
    <xf numFmtId="0" fontId="8" fillId="0" borderId="0"/>
    <xf numFmtId="0" fontId="62" fillId="3" borderId="5" applyNumberFormat="0" applyAlignment="0" applyProtection="0"/>
    <xf numFmtId="0" fontId="5" fillId="0" borderId="0"/>
  </cellStyleXfs>
  <cellXfs count="412">
    <xf numFmtId="0" fontId="0" fillId="0" borderId="0" xfId="0"/>
    <xf numFmtId="0" fontId="10" fillId="0" borderId="0" xfId="0" applyFont="1"/>
    <xf numFmtId="0" fontId="10" fillId="0" borderId="0" xfId="0" applyFont="1" applyAlignment="1">
      <alignment horizontal="left" indent="1"/>
    </xf>
    <xf numFmtId="0" fontId="0" fillId="0" borderId="0" xfId="0" applyAlignment="1">
      <alignment horizontal="left" indent="1"/>
    </xf>
    <xf numFmtId="0" fontId="0" fillId="0" borderId="0" xfId="0" applyAlignment="1">
      <alignment horizontal="right" indent="1"/>
    </xf>
    <xf numFmtId="164" fontId="0" fillId="0" borderId="0" xfId="0" applyNumberFormat="1" applyAlignment="1">
      <alignment horizontal="right" indent="1"/>
    </xf>
    <xf numFmtId="165" fontId="0" fillId="0" borderId="0" xfId="0" applyNumberFormat="1" applyAlignment="1">
      <alignment horizontal="right" indent="1"/>
    </xf>
    <xf numFmtId="166" fontId="0" fillId="0" borderId="0" xfId="0" applyNumberFormat="1" applyAlignment="1">
      <alignment horizontal="right" indent="1"/>
    </xf>
    <xf numFmtId="167" fontId="0" fillId="0" borderId="0" xfId="0" applyNumberFormat="1" applyAlignment="1">
      <alignment horizontal="right" indent="1"/>
    </xf>
    <xf numFmtId="168" fontId="0" fillId="0" borderId="0" xfId="0" applyNumberFormat="1" applyAlignment="1">
      <alignment horizontal="right" indent="1"/>
    </xf>
    <xf numFmtId="0" fontId="0" fillId="0" borderId="2" xfId="0" applyBorder="1" applyAlignment="1">
      <alignment horizontal="left" indent="1"/>
    </xf>
    <xf numFmtId="0" fontId="0" fillId="0" borderId="2" xfId="0" applyBorder="1" applyAlignment="1">
      <alignment horizontal="right" indent="1"/>
    </xf>
    <xf numFmtId="170" fontId="0" fillId="0" borderId="0" xfId="0" applyNumberFormat="1" applyAlignment="1">
      <alignment horizontal="right" indent="1" shrinkToFit="1"/>
    </xf>
    <xf numFmtId="170" fontId="10" fillId="0" borderId="2" xfId="0" applyNumberFormat="1" applyFont="1" applyBorder="1" applyAlignment="1">
      <alignment horizontal="right" indent="1" shrinkToFit="1"/>
    </xf>
    <xf numFmtId="171" fontId="0" fillId="0" borderId="0" xfId="0" applyNumberFormat="1" applyAlignment="1">
      <alignment horizontal="right" indent="1"/>
    </xf>
    <xf numFmtId="0" fontId="10" fillId="2" borderId="3" xfId="0" applyFont="1" applyFill="1" applyBorder="1" applyAlignment="1">
      <alignment horizontal="left" indent="1"/>
    </xf>
    <xf numFmtId="0" fontId="0" fillId="2" borderId="3" xfId="0" applyFill="1" applyBorder="1" applyAlignment="1">
      <alignment horizontal="right" indent="1"/>
    </xf>
    <xf numFmtId="0" fontId="10" fillId="2" borderId="3" xfId="0" applyFont="1" applyFill="1" applyBorder="1" applyAlignment="1">
      <alignment horizontal="right" indent="1"/>
    </xf>
    <xf numFmtId="169" fontId="10" fillId="2" borderId="3" xfId="0" applyNumberFormat="1" applyFont="1" applyFill="1" applyBorder="1" applyAlignment="1">
      <alignment horizontal="left" indent="1"/>
    </xf>
    <xf numFmtId="0" fontId="10" fillId="2" borderId="3" xfId="0" applyFont="1" applyFill="1" applyBorder="1" applyAlignment="1">
      <alignment horizontal="left" wrapText="1" indent="1"/>
    </xf>
    <xf numFmtId="0" fontId="0" fillId="0" borderId="3" xfId="0" applyFill="1" applyBorder="1"/>
    <xf numFmtId="0" fontId="0" fillId="0" borderId="3" xfId="0" applyFill="1" applyBorder="1" applyAlignment="1">
      <alignment horizontal="left" indent="1"/>
    </xf>
    <xf numFmtId="0" fontId="10" fillId="0" borderId="1" xfId="0" applyFont="1" applyBorder="1" applyAlignment="1">
      <alignment horizontal="left" indent="1"/>
    </xf>
    <xf numFmtId="0" fontId="0" fillId="0" borderId="0" xfId="0" applyAlignment="1">
      <alignment horizontal="left" vertical="center" indent="1"/>
    </xf>
    <xf numFmtId="0" fontId="10" fillId="0" borderId="1" xfId="0" applyFont="1" applyBorder="1" applyAlignment="1">
      <alignment horizontal="left" wrapText="1" indent="1"/>
    </xf>
    <xf numFmtId="0" fontId="10" fillId="0" borderId="4" xfId="0" applyFont="1" applyBorder="1" applyAlignment="1">
      <alignment horizontal="left" wrapText="1" indent="1"/>
    </xf>
    <xf numFmtId="0" fontId="0" fillId="0" borderId="1" xfId="0" applyBorder="1"/>
    <xf numFmtId="0" fontId="10" fillId="0" borderId="1" xfId="0" applyFont="1" applyBorder="1" applyAlignment="1">
      <alignment horizontal="left" vertical="center" indent="1"/>
    </xf>
    <xf numFmtId="170" fontId="10" fillId="0" borderId="0" xfId="0" applyNumberFormat="1" applyFont="1" applyAlignment="1">
      <alignment horizontal="right" indent="1" shrinkToFit="1"/>
    </xf>
    <xf numFmtId="0" fontId="10" fillId="0" borderId="0" xfId="0" applyFont="1" applyAlignment="1">
      <alignment horizontal="left" indent="1" shrinkToFit="1"/>
    </xf>
    <xf numFmtId="0" fontId="0" fillId="0" borderId="0" xfId="0" applyAlignment="1">
      <alignment horizontal="left" indent="1" shrinkToFit="1"/>
    </xf>
    <xf numFmtId="0" fontId="10" fillId="0" borderId="1" xfId="0" applyFont="1" applyBorder="1" applyAlignment="1">
      <alignment horizontal="left" indent="1" shrinkToFit="1"/>
    </xf>
    <xf numFmtId="0" fontId="10" fillId="2" borderId="3" xfId="0" applyFont="1" applyFill="1" applyBorder="1" applyAlignment="1">
      <alignment horizontal="left" indent="1" shrinkToFit="1"/>
    </xf>
    <xf numFmtId="0" fontId="0" fillId="0" borderId="2" xfId="0" applyBorder="1" applyAlignment="1">
      <alignment horizontal="left" indent="1" shrinkToFit="1"/>
    </xf>
    <xf numFmtId="0" fontId="0" fillId="2" borderId="3" xfId="0" applyFill="1" applyBorder="1" applyAlignment="1">
      <alignment horizontal="left" indent="1" shrinkToFit="1"/>
    </xf>
    <xf numFmtId="0" fontId="10" fillId="0" borderId="3" xfId="0" applyFont="1" applyFill="1" applyBorder="1" applyAlignment="1">
      <alignment horizontal="left" indent="1" shrinkToFit="1"/>
    </xf>
    <xf numFmtId="174" fontId="19" fillId="2" borderId="3" xfId="0" applyNumberFormat="1" applyFont="1" applyFill="1" applyBorder="1" applyAlignment="1">
      <alignment horizontal="right" indent="1"/>
    </xf>
    <xf numFmtId="0" fontId="10" fillId="2" borderId="1" xfId="0" applyFont="1" applyFill="1" applyBorder="1" applyAlignment="1">
      <alignment horizontal="left" indent="1" shrinkToFit="1"/>
    </xf>
    <xf numFmtId="0" fontId="10" fillId="2" borderId="1" xfId="0" applyFont="1" applyFill="1" applyBorder="1" applyAlignment="1">
      <alignment horizontal="left" wrapText="1" indent="1"/>
    </xf>
    <xf numFmtId="0" fontId="10" fillId="2" borderId="8" xfId="0" applyFont="1" applyFill="1" applyBorder="1" applyAlignment="1">
      <alignment horizontal="left" indent="1" shrinkToFit="1"/>
    </xf>
    <xf numFmtId="0" fontId="10" fillId="2" borderId="8" xfId="0" applyFont="1" applyFill="1" applyBorder="1" applyAlignment="1">
      <alignment horizontal="left" wrapText="1" indent="1"/>
    </xf>
    <xf numFmtId="0" fontId="0" fillId="0" borderId="0" xfId="0" applyAlignment="1">
      <alignment horizontal="right" vertical="center" indent="1"/>
    </xf>
    <xf numFmtId="0" fontId="20" fillId="6" borderId="10" xfId="0" applyFont="1" applyFill="1" applyBorder="1" applyAlignment="1">
      <alignment wrapText="1"/>
    </xf>
    <xf numFmtId="0" fontId="20" fillId="6" borderId="0" xfId="0" applyFont="1" applyFill="1" applyAlignment="1">
      <alignment wrapText="1"/>
    </xf>
    <xf numFmtId="178" fontId="0" fillId="0" borderId="0" xfId="0" applyNumberFormat="1" applyAlignment="1">
      <alignment shrinkToFit="1"/>
    </xf>
    <xf numFmtId="0" fontId="0" fillId="7" borderId="0" xfId="0" applyFill="1"/>
    <xf numFmtId="0" fontId="0" fillId="7" borderId="0" xfId="0" applyFill="1" applyAlignment="1">
      <alignment horizontal="left" indent="1"/>
    </xf>
    <xf numFmtId="0" fontId="0" fillId="7" borderId="9" xfId="0" applyFill="1" applyBorder="1" applyAlignment="1">
      <alignment horizontal="left" indent="1"/>
    </xf>
    <xf numFmtId="178" fontId="0" fillId="0" borderId="0" xfId="0" applyNumberFormat="1" applyAlignment="1">
      <alignment horizontal="right" indent="1" shrinkToFit="1"/>
    </xf>
    <xf numFmtId="171" fontId="0" fillId="0" borderId="0" xfId="0" applyNumberFormat="1" applyAlignment="1">
      <alignment horizontal="right" indent="1" shrinkToFit="1"/>
    </xf>
    <xf numFmtId="9" fontId="0" fillId="0" borderId="0" xfId="1" applyFont="1" applyAlignment="1">
      <alignment horizontal="right" indent="1" shrinkToFit="1"/>
    </xf>
    <xf numFmtId="178" fontId="10" fillId="0" borderId="16" xfId="0" applyNumberFormat="1" applyFont="1" applyBorder="1" applyAlignment="1">
      <alignment horizontal="right" indent="1" shrinkToFit="1"/>
    </xf>
    <xf numFmtId="0" fontId="0" fillId="0" borderId="7" xfId="0" applyFill="1" applyBorder="1" applyAlignment="1">
      <alignment horizontal="right" indent="1"/>
    </xf>
    <xf numFmtId="179" fontId="0" fillId="0" borderId="17" xfId="0" applyNumberFormat="1" applyFill="1" applyBorder="1" applyAlignment="1">
      <alignment horizontal="right" indent="1" shrinkToFit="1"/>
    </xf>
    <xf numFmtId="0" fontId="10" fillId="0" borderId="1" xfId="0" applyFont="1" applyFill="1" applyBorder="1" applyAlignment="1">
      <alignment horizontal="left" vertical="center" wrapText="1" indent="1"/>
    </xf>
    <xf numFmtId="180" fontId="0" fillId="0" borderId="0" xfId="0" applyNumberFormat="1" applyAlignment="1">
      <alignment horizontal="right" vertical="center" indent="1" shrinkToFit="1"/>
    </xf>
    <xf numFmtId="0" fontId="0" fillId="0" borderId="0" xfId="0" applyAlignment="1">
      <alignment horizontal="right" vertical="center" indent="1" shrinkToFit="1"/>
    </xf>
    <xf numFmtId="0" fontId="0" fillId="0" borderId="0" xfId="0" applyAlignment="1">
      <alignment horizontal="left" vertical="center" wrapText="1" indent="1"/>
    </xf>
    <xf numFmtId="0" fontId="15" fillId="3" borderId="5" xfId="2" applyAlignment="1">
      <alignment horizontal="left" indent="1"/>
    </xf>
    <xf numFmtId="176" fontId="0" fillId="9" borderId="18" xfId="0" applyNumberFormat="1" applyFill="1" applyBorder="1" applyAlignment="1">
      <alignment horizontal="right" indent="1" shrinkToFit="1"/>
    </xf>
    <xf numFmtId="0" fontId="9" fillId="10" borderId="0" xfId="4" applyFill="1"/>
    <xf numFmtId="0" fontId="9" fillId="0" borderId="0" xfId="4" applyAlignment="1">
      <alignment wrapText="1"/>
    </xf>
    <xf numFmtId="0" fontId="9" fillId="0" borderId="0" xfId="4"/>
    <xf numFmtId="0" fontId="9" fillId="11" borderId="19" xfId="4" applyFill="1" applyBorder="1"/>
    <xf numFmtId="0" fontId="9" fillId="11" borderId="20" xfId="4" applyFill="1" applyBorder="1"/>
    <xf numFmtId="0" fontId="9" fillId="11" borderId="21" xfId="4" applyFill="1" applyBorder="1"/>
    <xf numFmtId="0" fontId="9" fillId="11" borderId="0" xfId="4" applyFill="1"/>
    <xf numFmtId="0" fontId="9" fillId="11" borderId="22" xfId="4" applyFill="1" applyBorder="1"/>
    <xf numFmtId="0" fontId="9" fillId="11" borderId="23" xfId="4" applyFill="1" applyBorder="1"/>
    <xf numFmtId="0" fontId="18" fillId="11" borderId="24" xfId="4" applyFont="1" applyFill="1" applyBorder="1" applyAlignment="1">
      <alignment horizontal="right" indent="6"/>
    </xf>
    <xf numFmtId="0" fontId="9" fillId="11" borderId="25" xfId="4" applyFill="1" applyBorder="1"/>
    <xf numFmtId="0" fontId="22" fillId="7" borderId="0" xfId="4" applyFont="1" applyFill="1" applyAlignment="1">
      <alignment horizontal="left" indent="1"/>
    </xf>
    <xf numFmtId="0" fontId="9" fillId="7" borderId="0" xfId="4" applyFill="1"/>
    <xf numFmtId="0" fontId="17" fillId="7" borderId="0" xfId="4" applyFont="1" applyFill="1" applyAlignment="1">
      <alignment horizontal="right" indent="1"/>
    </xf>
    <xf numFmtId="0" fontId="9" fillId="7" borderId="0" xfId="4" applyFill="1" applyAlignment="1">
      <alignment horizontal="left" indent="1"/>
    </xf>
    <xf numFmtId="0" fontId="9" fillId="7" borderId="0" xfId="4" applyFill="1" applyAlignment="1">
      <alignment horizontal="right" indent="1"/>
    </xf>
    <xf numFmtId="0" fontId="15" fillId="7" borderId="0" xfId="2" applyFill="1" applyBorder="1" applyAlignment="1">
      <alignment horizontal="left" indent="1"/>
    </xf>
    <xf numFmtId="0" fontId="16" fillId="4" borderId="6" xfId="3" applyBorder="1" applyAlignment="1">
      <alignment horizontal="left" indent="1"/>
    </xf>
    <xf numFmtId="0" fontId="17" fillId="7" borderId="0" xfId="4" applyFont="1" applyFill="1" applyAlignment="1">
      <alignment horizontal="left" indent="1"/>
    </xf>
    <xf numFmtId="0" fontId="25" fillId="7" borderId="0" xfId="2" quotePrefix="1" applyFont="1" applyFill="1" applyBorder="1" applyAlignment="1">
      <alignment horizontal="left" indent="4"/>
    </xf>
    <xf numFmtId="0" fontId="15" fillId="7" borderId="0" xfId="2" quotePrefix="1" applyFill="1" applyBorder="1" applyAlignment="1">
      <alignment horizontal="left"/>
    </xf>
    <xf numFmtId="0" fontId="9" fillId="7" borderId="0" xfId="4" applyFont="1" applyFill="1" applyAlignment="1">
      <alignment horizontal="left" indent="1"/>
    </xf>
    <xf numFmtId="0" fontId="27" fillId="7" borderId="0" xfId="4" applyFont="1" applyFill="1" applyAlignment="1">
      <alignment horizontal="left" indent="1"/>
    </xf>
    <xf numFmtId="0" fontId="16" fillId="7" borderId="0" xfId="3" applyFill="1" applyBorder="1" applyAlignment="1">
      <alignment horizontal="left" indent="1"/>
    </xf>
    <xf numFmtId="0" fontId="9" fillId="11" borderId="24" xfId="4" applyFill="1" applyBorder="1"/>
    <xf numFmtId="0" fontId="9" fillId="11" borderId="26" xfId="4" applyFill="1" applyBorder="1"/>
    <xf numFmtId="0" fontId="9" fillId="11" borderId="27" xfId="4" applyFill="1" applyBorder="1"/>
    <xf numFmtId="0" fontId="17" fillId="7" borderId="0" xfId="4" applyFont="1" applyFill="1" applyAlignment="1">
      <alignment horizontal="right" indent="1" shrinkToFit="1"/>
    </xf>
    <xf numFmtId="0" fontId="0" fillId="0" borderId="0" xfId="0" applyAlignment="1">
      <alignment horizontal="left" indent="1" shrinkToFit="1"/>
    </xf>
    <xf numFmtId="177" fontId="10" fillId="12" borderId="28" xfId="0" applyNumberFormat="1" applyFont="1" applyFill="1" applyBorder="1" applyAlignment="1">
      <alignment vertical="center" shrinkToFit="1"/>
    </xf>
    <xf numFmtId="0" fontId="10" fillId="13" borderId="15" xfId="0" applyFont="1" applyFill="1" applyBorder="1" applyAlignment="1">
      <alignment horizontal="left" vertical="center" wrapText="1" indent="1"/>
    </xf>
    <xf numFmtId="0" fontId="28" fillId="0" borderId="0" xfId="5"/>
    <xf numFmtId="0" fontId="29" fillId="0" borderId="0" xfId="5" applyFont="1"/>
    <xf numFmtId="0" fontId="28" fillId="5" borderId="0" xfId="5" applyFill="1"/>
    <xf numFmtId="0" fontId="28" fillId="7" borderId="17" xfId="5" applyFill="1" applyBorder="1"/>
    <xf numFmtId="0" fontId="28" fillId="7" borderId="7" xfId="5" applyFill="1" applyBorder="1"/>
    <xf numFmtId="0" fontId="28" fillId="7" borderId="30" xfId="5" applyFill="1" applyBorder="1" applyAlignment="1">
      <alignment horizontal="left" indent="1"/>
    </xf>
    <xf numFmtId="0" fontId="28" fillId="7" borderId="31" xfId="5" applyFill="1" applyBorder="1"/>
    <xf numFmtId="0" fontId="28" fillId="7" borderId="0" xfId="5" applyFill="1"/>
    <xf numFmtId="0" fontId="28" fillId="7" borderId="32" xfId="5" applyFill="1" applyBorder="1" applyAlignment="1">
      <alignment horizontal="left" indent="1"/>
    </xf>
    <xf numFmtId="0" fontId="28" fillId="7" borderId="32" xfId="5" applyFill="1" applyBorder="1"/>
    <xf numFmtId="0" fontId="28" fillId="7" borderId="0" xfId="5" applyFill="1" applyBorder="1"/>
    <xf numFmtId="0" fontId="28" fillId="14" borderId="0" xfId="5" applyFill="1" applyAlignment="1" applyProtection="1">
      <alignment horizontal="right" indent="1" shrinkToFit="1"/>
      <protection locked="0"/>
    </xf>
    <xf numFmtId="0" fontId="28" fillId="7" borderId="0" xfId="5" applyFill="1" applyBorder="1" applyAlignment="1">
      <alignment horizontal="right" vertical="center" indent="1" shrinkToFit="1"/>
    </xf>
    <xf numFmtId="0" fontId="28" fillId="7" borderId="31" xfId="5" applyFill="1" applyBorder="1" applyAlignment="1">
      <alignment horizontal="center"/>
    </xf>
    <xf numFmtId="0" fontId="28" fillId="7" borderId="0" xfId="5" applyFont="1" applyFill="1" applyBorder="1" applyAlignment="1">
      <alignment horizontal="left" indent="1"/>
    </xf>
    <xf numFmtId="181" fontId="28" fillId="14" borderId="0" xfId="5" applyNumberFormat="1" applyFill="1" applyAlignment="1" applyProtection="1">
      <alignment horizontal="right" indent="1" shrinkToFit="1"/>
      <protection locked="0"/>
    </xf>
    <xf numFmtId="0" fontId="28" fillId="7" borderId="0" xfId="5" applyFont="1" applyFill="1" applyAlignment="1">
      <alignment horizontal="right" vertical="center" indent="1" shrinkToFit="1"/>
    </xf>
    <xf numFmtId="0" fontId="28" fillId="7" borderId="16" xfId="5" applyFill="1" applyBorder="1" applyAlignment="1">
      <alignment horizontal="right"/>
    </xf>
    <xf numFmtId="0" fontId="28" fillId="7" borderId="0" xfId="5" applyFill="1" applyBorder="1" applyAlignment="1">
      <alignment horizontal="right"/>
    </xf>
    <xf numFmtId="0" fontId="28" fillId="7" borderId="2" xfId="5" applyFill="1" applyBorder="1" applyAlignment="1">
      <alignment horizontal="right" vertical="center" indent="1" shrinkToFit="1"/>
    </xf>
    <xf numFmtId="0" fontId="28" fillId="7" borderId="33" xfId="5" applyFill="1" applyBorder="1" applyAlignment="1">
      <alignment horizontal="right"/>
    </xf>
    <xf numFmtId="0" fontId="30" fillId="0" borderId="0" xfId="5" applyFont="1"/>
    <xf numFmtId="0" fontId="28" fillId="7" borderId="30" xfId="5" applyFill="1" applyBorder="1"/>
    <xf numFmtId="49" fontId="28" fillId="7" borderId="17" xfId="5" applyNumberFormat="1" applyFill="1" applyBorder="1" applyAlignment="1">
      <alignment horizontal="center"/>
    </xf>
    <xf numFmtId="0" fontId="28" fillId="7" borderId="7" xfId="5" applyFill="1" applyBorder="1" applyAlignment="1">
      <alignment horizontal="right" vertical="center" indent="1" shrinkToFit="1"/>
    </xf>
    <xf numFmtId="0" fontId="28" fillId="7" borderId="0" xfId="5" applyFill="1" applyAlignment="1">
      <alignment horizontal="right"/>
    </xf>
    <xf numFmtId="170" fontId="29" fillId="15" borderId="0" xfId="5" applyNumberFormat="1" applyFont="1" applyFill="1" applyAlignment="1">
      <alignment shrinkToFit="1"/>
    </xf>
    <xf numFmtId="0" fontId="28" fillId="7" borderId="0" xfId="5" applyFill="1" applyAlignment="1">
      <alignment horizontal="right" vertical="center" indent="1" shrinkToFit="1"/>
    </xf>
    <xf numFmtId="49" fontId="28" fillId="7" borderId="32" xfId="5" applyNumberFormat="1" applyFill="1" applyBorder="1" applyAlignment="1">
      <alignment horizontal="right"/>
    </xf>
    <xf numFmtId="49" fontId="28" fillId="7" borderId="31" xfId="5" applyNumberFormat="1" applyFill="1" applyBorder="1" applyAlignment="1">
      <alignment horizontal="center"/>
    </xf>
    <xf numFmtId="0" fontId="28" fillId="7" borderId="0" xfId="5" applyFont="1" applyFill="1" applyAlignment="1">
      <alignment horizontal="left" indent="1"/>
    </xf>
    <xf numFmtId="164" fontId="28" fillId="14" borderId="0" xfId="5" applyNumberFormat="1" applyFill="1" applyAlignment="1" applyProtection="1">
      <alignment horizontal="right" indent="1" shrinkToFit="1"/>
      <protection locked="0"/>
    </xf>
    <xf numFmtId="1" fontId="28" fillId="7" borderId="31" xfId="5" applyNumberFormat="1" applyFill="1" applyBorder="1"/>
    <xf numFmtId="167" fontId="28" fillId="14" borderId="0" xfId="5" applyNumberFormat="1" applyFill="1" applyAlignment="1" applyProtection="1">
      <alignment horizontal="right" vertical="center" indent="1" shrinkToFit="1"/>
      <protection locked="0"/>
    </xf>
    <xf numFmtId="0" fontId="29" fillId="7" borderId="32" xfId="5" applyFont="1" applyFill="1" applyBorder="1" applyAlignment="1">
      <alignment horizontal="left" indent="1"/>
    </xf>
    <xf numFmtId="0" fontId="29" fillId="7" borderId="33" xfId="5" applyFont="1" applyFill="1" applyBorder="1" applyAlignment="1">
      <alignment horizontal="left" indent="1"/>
    </xf>
    <xf numFmtId="1" fontId="28" fillId="7" borderId="7" xfId="5" applyNumberFormat="1" applyFill="1" applyBorder="1"/>
    <xf numFmtId="0" fontId="29" fillId="7" borderId="31" xfId="5" applyFont="1" applyFill="1" applyBorder="1" applyAlignment="1">
      <alignment horizontal="center"/>
    </xf>
    <xf numFmtId="0" fontId="29" fillId="7" borderId="0" xfId="5" applyFont="1" applyFill="1" applyAlignment="1">
      <alignment horizontal="center"/>
    </xf>
    <xf numFmtId="0" fontId="29" fillId="7" borderId="32" xfId="5" applyFont="1" applyFill="1" applyBorder="1" applyAlignment="1">
      <alignment horizontal="center"/>
    </xf>
    <xf numFmtId="0" fontId="29" fillId="7" borderId="16" xfId="5" applyFont="1" applyFill="1" applyBorder="1" applyAlignment="1">
      <alignment horizontal="center"/>
    </xf>
    <xf numFmtId="0" fontId="29" fillId="7" borderId="2" xfId="5" applyFont="1" applyFill="1" applyBorder="1" applyAlignment="1">
      <alignment horizontal="center"/>
    </xf>
    <xf numFmtId="0" fontId="29" fillId="5" borderId="0" xfId="5" applyFont="1" applyFill="1" applyAlignment="1">
      <alignment horizontal="center"/>
    </xf>
    <xf numFmtId="49" fontId="28" fillId="7" borderId="36" xfId="5" applyNumberFormat="1" applyFont="1" applyFill="1" applyBorder="1" applyAlignment="1">
      <alignment horizontal="left" indent="1"/>
    </xf>
    <xf numFmtId="1" fontId="28" fillId="7" borderId="0" xfId="5" applyNumberFormat="1" applyFill="1"/>
    <xf numFmtId="0" fontId="28" fillId="5" borderId="0" xfId="5" applyFill="1" applyAlignment="1">
      <alignment horizontal="center"/>
    </xf>
    <xf numFmtId="0" fontId="28" fillId="5" borderId="0" xfId="5" applyFill="1" applyAlignment="1">
      <alignment horizontal="right"/>
    </xf>
    <xf numFmtId="49" fontId="28" fillId="7" borderId="31" xfId="5" applyNumberFormat="1" applyFill="1" applyBorder="1"/>
    <xf numFmtId="49" fontId="28" fillId="7" borderId="31" xfId="5" quotePrefix="1" applyNumberFormat="1" applyFont="1" applyFill="1" applyBorder="1" applyAlignment="1">
      <alignment horizontal="left" vertical="center" indent="1"/>
    </xf>
    <xf numFmtId="0" fontId="28" fillId="7" borderId="0" xfId="5" applyFont="1" applyFill="1" applyAlignment="1">
      <alignment horizontal="center"/>
    </xf>
    <xf numFmtId="1" fontId="28" fillId="17" borderId="0" xfId="5" applyNumberFormat="1" applyFill="1" applyAlignment="1">
      <alignment horizontal="right" indent="1"/>
    </xf>
    <xf numFmtId="0" fontId="28" fillId="7" borderId="16" xfId="5" applyFill="1" applyBorder="1"/>
    <xf numFmtId="0" fontId="28" fillId="7" borderId="2" xfId="5" applyFill="1" applyBorder="1"/>
    <xf numFmtId="0" fontId="28" fillId="7" borderId="33" xfId="5" applyFill="1" applyBorder="1"/>
    <xf numFmtId="0" fontId="28" fillId="18" borderId="0" xfId="5" applyFill="1"/>
    <xf numFmtId="183" fontId="31" fillId="0" borderId="0" xfId="5" applyNumberFormat="1" applyFont="1" applyAlignment="1">
      <alignment horizontal="right" shrinkToFit="1"/>
    </xf>
    <xf numFmtId="167" fontId="32" fillId="0" borderId="37" xfId="5" applyNumberFormat="1" applyFont="1" applyBorder="1" applyAlignment="1">
      <alignment horizontal="right" indent="1" shrinkToFit="1"/>
    </xf>
    <xf numFmtId="0" fontId="33" fillId="0" borderId="0" xfId="5" applyFont="1"/>
    <xf numFmtId="167" fontId="32" fillId="0" borderId="3" xfId="5" applyNumberFormat="1" applyFont="1" applyBorder="1" applyAlignment="1">
      <alignment horizontal="right" shrinkToFit="1"/>
    </xf>
    <xf numFmtId="0" fontId="34" fillId="0" borderId="0" xfId="5" applyFont="1"/>
    <xf numFmtId="0" fontId="32" fillId="0" borderId="39" xfId="5" applyFont="1" applyBorder="1" applyAlignment="1">
      <alignment horizontal="left" indent="1"/>
    </xf>
    <xf numFmtId="0" fontId="30" fillId="0" borderId="0" xfId="5" applyFont="1" applyAlignment="1">
      <alignment horizontal="right" vertical="center" indent="1"/>
    </xf>
    <xf numFmtId="0" fontId="32" fillId="0" borderId="0" xfId="5" applyFont="1"/>
    <xf numFmtId="0" fontId="35" fillId="0" borderId="0" xfId="5" applyFont="1" applyAlignment="1">
      <alignment horizontal="right" indent="1"/>
    </xf>
    <xf numFmtId="0" fontId="35" fillId="0" borderId="0" xfId="5" applyFont="1"/>
    <xf numFmtId="0" fontId="28" fillId="14" borderId="0" xfId="5" applyFill="1"/>
    <xf numFmtId="0" fontId="29" fillId="14" borderId="0" xfId="5" applyFont="1" applyFill="1" applyAlignment="1">
      <alignment horizontal="left" indent="1"/>
    </xf>
    <xf numFmtId="0" fontId="36" fillId="0" borderId="0" xfId="5" applyFont="1"/>
    <xf numFmtId="0" fontId="31" fillId="0" borderId="0" xfId="5" applyFont="1"/>
    <xf numFmtId="0" fontId="35" fillId="0" borderId="0" xfId="5" applyFont="1" applyAlignment="1">
      <alignment horizontal="right"/>
    </xf>
    <xf numFmtId="0" fontId="37" fillId="0" borderId="0" xfId="5" applyFont="1"/>
    <xf numFmtId="0" fontId="30" fillId="0" borderId="0" xfId="5" applyFont="1" applyAlignment="1">
      <alignment horizontal="right" indent="1"/>
    </xf>
    <xf numFmtId="0" fontId="35" fillId="0" borderId="0" xfId="5" applyFont="1" applyAlignment="1">
      <alignment horizontal="left" indent="1" shrinkToFit="1"/>
    </xf>
    <xf numFmtId="0" fontId="35" fillId="0" borderId="0" xfId="5" applyFont="1" applyAlignment="1">
      <alignment horizontal="right" vertical="center" indent="1"/>
    </xf>
    <xf numFmtId="0" fontId="32" fillId="0" borderId="0" xfId="5" applyFont="1" applyAlignment="1">
      <alignment horizontal="left" indent="1"/>
    </xf>
    <xf numFmtId="0" fontId="29" fillId="0" borderId="0" xfId="5" applyFont="1" applyAlignment="1">
      <alignment horizontal="left" indent="1"/>
    </xf>
    <xf numFmtId="0" fontId="36" fillId="0" borderId="0" xfId="5" applyFont="1" applyAlignment="1">
      <alignment horizontal="center"/>
    </xf>
    <xf numFmtId="186" fontId="31" fillId="0" borderId="17" xfId="5" applyNumberFormat="1" applyFont="1" applyBorder="1" applyAlignment="1">
      <alignment horizontal="right" wrapText="1"/>
    </xf>
    <xf numFmtId="186" fontId="31" fillId="0" borderId="7" xfId="5" applyNumberFormat="1" applyFont="1" applyBorder="1" applyAlignment="1">
      <alignment horizontal="right" wrapText="1"/>
    </xf>
    <xf numFmtId="186" fontId="31" fillId="0" borderId="30" xfId="5" applyNumberFormat="1" applyFont="1" applyBorder="1" applyAlignment="1">
      <alignment horizontal="right" wrapText="1"/>
    </xf>
    <xf numFmtId="0" fontId="45" fillId="0" borderId="0" xfId="5" applyFont="1" applyAlignment="1">
      <alignment horizontal="center" wrapText="1"/>
    </xf>
    <xf numFmtId="186" fontId="31" fillId="0" borderId="31" xfId="5" applyNumberFormat="1" applyFont="1" applyBorder="1" applyAlignment="1">
      <alignment horizontal="right" wrapText="1"/>
    </xf>
    <xf numFmtId="186" fontId="31" fillId="0" borderId="0" xfId="5" applyNumberFormat="1" applyFont="1" applyAlignment="1">
      <alignment horizontal="right" wrapText="1"/>
    </xf>
    <xf numFmtId="186" fontId="31" fillId="0" borderId="32" xfId="5" applyNumberFormat="1" applyFont="1" applyBorder="1" applyAlignment="1">
      <alignment horizontal="right" wrapText="1"/>
    </xf>
    <xf numFmtId="186" fontId="31" fillId="0" borderId="16" xfId="5" applyNumberFormat="1" applyFont="1" applyBorder="1" applyAlignment="1">
      <alignment horizontal="right" wrapText="1"/>
    </xf>
    <xf numFmtId="186" fontId="31" fillId="0" borderId="2" xfId="5" applyNumberFormat="1" applyFont="1" applyBorder="1" applyAlignment="1">
      <alignment horizontal="right" wrapText="1"/>
    </xf>
    <xf numFmtId="186" fontId="31" fillId="0" borderId="33" xfId="5" applyNumberFormat="1" applyFont="1" applyBorder="1" applyAlignment="1">
      <alignment horizontal="right" wrapText="1"/>
    </xf>
    <xf numFmtId="186" fontId="46" fillId="0" borderId="31" xfId="5" applyNumberFormat="1" applyFont="1" applyBorder="1" applyAlignment="1">
      <alignment horizontal="right" wrapText="1"/>
    </xf>
    <xf numFmtId="186" fontId="46" fillId="0" borderId="0" xfId="5" applyNumberFormat="1" applyFont="1" applyAlignment="1">
      <alignment horizontal="right" wrapText="1"/>
    </xf>
    <xf numFmtId="0" fontId="32" fillId="0" borderId="0" xfId="5" applyFont="1" applyAlignment="1">
      <alignment horizontal="center" wrapText="1"/>
    </xf>
    <xf numFmtId="186" fontId="46" fillId="0" borderId="16" xfId="5" applyNumberFormat="1" applyFont="1" applyBorder="1" applyAlignment="1">
      <alignment horizontal="right" wrapText="1"/>
    </xf>
    <xf numFmtId="186" fontId="46" fillId="0" borderId="2" xfId="5" applyNumberFormat="1" applyFont="1" applyBorder="1" applyAlignment="1">
      <alignment horizontal="right" wrapText="1"/>
    </xf>
    <xf numFmtId="186" fontId="46" fillId="0" borderId="17" xfId="5" applyNumberFormat="1" applyFont="1" applyBorder="1" applyAlignment="1">
      <alignment horizontal="right" wrapText="1"/>
    </xf>
    <xf numFmtId="186" fontId="46" fillId="0" borderId="7" xfId="5" applyNumberFormat="1" applyFont="1" applyBorder="1" applyAlignment="1">
      <alignment horizontal="right" wrapText="1"/>
    </xf>
    <xf numFmtId="1" fontId="45" fillId="0" borderId="0" xfId="5" applyNumberFormat="1" applyFont="1" applyAlignment="1">
      <alignment horizontal="center" wrapText="1"/>
    </xf>
    <xf numFmtId="1" fontId="40" fillId="0" borderId="17" xfId="5" applyNumberFormat="1" applyFont="1" applyBorder="1"/>
    <xf numFmtId="1" fontId="40" fillId="0" borderId="7" xfId="5" applyNumberFormat="1" applyFont="1" applyBorder="1"/>
    <xf numFmtId="1" fontId="40" fillId="0" borderId="30" xfId="5" applyNumberFormat="1" applyFont="1" applyBorder="1"/>
    <xf numFmtId="0" fontId="29" fillId="0" borderId="0" xfId="5" applyFont="1" applyAlignment="1">
      <alignment horizontal="center"/>
    </xf>
    <xf numFmtId="1" fontId="40" fillId="0" borderId="31" xfId="5" applyNumberFormat="1" applyFont="1" applyBorder="1"/>
    <xf numFmtId="1" fontId="40" fillId="0" borderId="0" xfId="5" applyNumberFormat="1" applyFont="1"/>
    <xf numFmtId="1" fontId="40" fillId="0" borderId="32" xfId="5" applyNumberFormat="1" applyFont="1" applyBorder="1"/>
    <xf numFmtId="1" fontId="40" fillId="0" borderId="16" xfId="5" applyNumberFormat="1" applyFont="1" applyBorder="1"/>
    <xf numFmtId="1" fontId="40" fillId="0" borderId="2" xfId="5" applyNumberFormat="1" applyFont="1" applyBorder="1"/>
    <xf numFmtId="1" fontId="40" fillId="0" borderId="33" xfId="5" applyNumberFormat="1" applyFont="1" applyBorder="1"/>
    <xf numFmtId="0" fontId="47" fillId="0" borderId="0" xfId="5" applyFont="1" applyAlignment="1">
      <alignment horizontal="center"/>
    </xf>
    <xf numFmtId="0" fontId="8" fillId="7" borderId="0" xfId="4" applyFont="1" applyFill="1" applyAlignment="1">
      <alignment horizontal="left" indent="1"/>
    </xf>
    <xf numFmtId="0" fontId="32" fillId="0" borderId="38" xfId="5" applyFont="1" applyBorder="1" applyAlignment="1">
      <alignment horizontal="left" indent="1"/>
    </xf>
    <xf numFmtId="0" fontId="29" fillId="7" borderId="0" xfId="5" applyFont="1" applyFill="1"/>
    <xf numFmtId="14" fontId="28" fillId="7" borderId="0" xfId="5" applyNumberFormat="1" applyFill="1"/>
    <xf numFmtId="0" fontId="47" fillId="7" borderId="0" xfId="5" applyFont="1" applyFill="1"/>
    <xf numFmtId="0" fontId="31" fillId="7" borderId="0" xfId="5" applyFont="1" applyFill="1" applyAlignment="1">
      <alignment horizontal="right" wrapText="1"/>
    </xf>
    <xf numFmtId="0" fontId="40" fillId="7" borderId="0" xfId="5" applyFont="1" applyFill="1"/>
    <xf numFmtId="0" fontId="32" fillId="7" borderId="0" xfId="5" applyFont="1" applyFill="1" applyAlignment="1">
      <alignment horizontal="left"/>
    </xf>
    <xf numFmtId="0" fontId="45" fillId="7" borderId="0" xfId="5" applyFont="1" applyFill="1" applyAlignment="1">
      <alignment horizontal="left" wrapText="1"/>
    </xf>
    <xf numFmtId="0" fontId="44" fillId="7" borderId="0" xfId="5" applyFont="1" applyFill="1"/>
    <xf numFmtId="0" fontId="38" fillId="7" borderId="0" xfId="5" applyFont="1" applyFill="1"/>
    <xf numFmtId="0" fontId="43" fillId="7" borderId="0" xfId="5" applyFont="1" applyFill="1"/>
    <xf numFmtId="0" fontId="36" fillId="7" borderId="0" xfId="5" applyFont="1" applyFill="1"/>
    <xf numFmtId="0" fontId="36" fillId="7" borderId="0" xfId="5" applyFont="1" applyFill="1" applyAlignment="1">
      <alignment horizontal="center"/>
    </xf>
    <xf numFmtId="0" fontId="36" fillId="7" borderId="0" xfId="5" applyFont="1" applyFill="1" applyAlignment="1">
      <alignment horizontal="left"/>
    </xf>
    <xf numFmtId="185" fontId="42" fillId="7" borderId="0" xfId="6" applyNumberFormat="1" applyFont="1" applyFill="1"/>
    <xf numFmtId="0" fontId="28" fillId="7" borderId="0" xfId="5" applyFont="1" applyFill="1"/>
    <xf numFmtId="186" fontId="28" fillId="7" borderId="0" xfId="5" applyNumberFormat="1" applyFont="1" applyFill="1"/>
    <xf numFmtId="185" fontId="41" fillId="7" borderId="0" xfId="6" applyNumberFormat="1" applyFont="1" applyFill="1"/>
    <xf numFmtId="185" fontId="40" fillId="7" borderId="0" xfId="6" applyNumberFormat="1" applyFont="1" applyFill="1"/>
    <xf numFmtId="185" fontId="28" fillId="7" borderId="0" xfId="6" applyNumberFormat="1" applyFont="1" applyFill="1"/>
    <xf numFmtId="185" fontId="28" fillId="7" borderId="0" xfId="5" applyNumberFormat="1" applyFont="1" applyFill="1"/>
    <xf numFmtId="186" fontId="36" fillId="7" borderId="0" xfId="5" applyNumberFormat="1" applyFont="1" applyFill="1"/>
    <xf numFmtId="185" fontId="28" fillId="7" borderId="0" xfId="5" applyNumberFormat="1" applyFill="1"/>
    <xf numFmtId="0" fontId="30" fillId="7" borderId="0" xfId="5" applyFont="1" applyFill="1"/>
    <xf numFmtId="9" fontId="40" fillId="7" borderId="0" xfId="5" applyNumberFormat="1" applyFont="1" applyFill="1"/>
    <xf numFmtId="185" fontId="40" fillId="7" borderId="0" xfId="5" applyNumberFormat="1" applyFont="1" applyFill="1"/>
    <xf numFmtId="0" fontId="39" fillId="7" borderId="0" xfId="5" applyFont="1" applyFill="1"/>
    <xf numFmtId="0" fontId="35" fillId="7" borderId="0" xfId="5" applyFont="1" applyFill="1"/>
    <xf numFmtId="0" fontId="39" fillId="7" borderId="0" xfId="5" applyFont="1" applyFill="1" applyAlignment="1">
      <alignment horizontal="right"/>
    </xf>
    <xf numFmtId="0" fontId="41" fillId="7" borderId="0" xfId="5" applyFont="1" applyFill="1"/>
    <xf numFmtId="10" fontId="41" fillId="7" borderId="0" xfId="5" applyNumberFormat="1" applyFont="1" applyFill="1"/>
    <xf numFmtId="167" fontId="30" fillId="0" borderId="0" xfId="5" quotePrefix="1" applyNumberFormat="1" applyFont="1" applyAlignment="1" applyProtection="1">
      <alignment vertical="center" shrinkToFit="1"/>
      <protection locked="0"/>
    </xf>
    <xf numFmtId="0" fontId="8" fillId="0" borderId="0" xfId="7"/>
    <xf numFmtId="0" fontId="8" fillId="0" borderId="40" xfId="7" applyBorder="1"/>
    <xf numFmtId="9" fontId="8" fillId="0" borderId="41" xfId="7" applyNumberFormat="1" applyBorder="1"/>
    <xf numFmtId="0" fontId="8" fillId="0" borderId="42" xfId="7" applyBorder="1" applyAlignment="1">
      <alignment horizontal="center" vertical="center"/>
    </xf>
    <xf numFmtId="9" fontId="8" fillId="0" borderId="37" xfId="7" applyNumberFormat="1" applyBorder="1" applyAlignment="1">
      <alignment vertical="center" shrinkToFit="1"/>
    </xf>
    <xf numFmtId="9" fontId="8" fillId="0" borderId="36" xfId="7" applyNumberFormat="1" applyBorder="1"/>
    <xf numFmtId="0" fontId="8" fillId="0" borderId="43" xfId="7" applyBorder="1" applyAlignment="1">
      <alignment horizontal="center" vertical="center"/>
    </xf>
    <xf numFmtId="0" fontId="8" fillId="0" borderId="41" xfId="7" applyBorder="1"/>
    <xf numFmtId="0" fontId="8" fillId="0" borderId="42" xfId="7" applyBorder="1" applyAlignment="1">
      <alignment horizontal="right"/>
    </xf>
    <xf numFmtId="0" fontId="8" fillId="0" borderId="12" xfId="7" applyBorder="1"/>
    <xf numFmtId="0" fontId="8" fillId="0" borderId="9" xfId="7" applyBorder="1"/>
    <xf numFmtId="0" fontId="8" fillId="0" borderId="11" xfId="7" applyBorder="1"/>
    <xf numFmtId="0" fontId="8" fillId="0" borderId="0" xfId="7" applyAlignment="1">
      <alignment horizontal="left" indent="1"/>
    </xf>
    <xf numFmtId="0" fontId="8" fillId="0" borderId="0" xfId="7" applyAlignment="1">
      <alignment horizontal="right" indent="1"/>
    </xf>
    <xf numFmtId="0" fontId="17" fillId="0" borderId="0" xfId="7" applyFont="1" applyAlignment="1">
      <alignment horizontal="left" indent="1"/>
    </xf>
    <xf numFmtId="0" fontId="8" fillId="7" borderId="32" xfId="7" applyFill="1" applyBorder="1"/>
    <xf numFmtId="0" fontId="8" fillId="20" borderId="32" xfId="7" applyFill="1" applyBorder="1"/>
    <xf numFmtId="0" fontId="49" fillId="0" borderId="0" xfId="7" applyFont="1" applyAlignment="1">
      <alignment horizontal="left" vertical="center" indent="1"/>
    </xf>
    <xf numFmtId="0" fontId="50" fillId="0" borderId="0" xfId="7" applyFont="1" applyAlignment="1">
      <alignment horizontal="left" vertical="center" wrapText="1" indent="1"/>
    </xf>
    <xf numFmtId="0" fontId="8" fillId="7" borderId="33" xfId="7" applyFill="1" applyBorder="1"/>
    <xf numFmtId="0" fontId="8" fillId="20" borderId="33" xfId="7" applyFill="1" applyBorder="1"/>
    <xf numFmtId="0" fontId="8" fillId="0" borderId="44" xfId="7" applyBorder="1"/>
    <xf numFmtId="0" fontId="8" fillId="0" borderId="36" xfId="7" applyNumberFormat="1" applyBorder="1" applyAlignment="1">
      <alignment horizontal="center" vertical="center"/>
    </xf>
    <xf numFmtId="0" fontId="8" fillId="0" borderId="0" xfId="7" applyFont="1" applyAlignment="1">
      <alignment horizontal="left" vertical="center" indent="1"/>
    </xf>
    <xf numFmtId="0" fontId="50" fillId="0" borderId="0" xfId="7" applyFont="1" applyAlignment="1">
      <alignment horizontal="left" vertical="center" indent="1"/>
    </xf>
    <xf numFmtId="0" fontId="8" fillId="0" borderId="47" xfId="7" applyNumberFormat="1" applyBorder="1" applyAlignment="1">
      <alignment horizontal="center" vertical="center"/>
    </xf>
    <xf numFmtId="0" fontId="8" fillId="0" borderId="1" xfId="7" applyBorder="1"/>
    <xf numFmtId="0" fontId="17" fillId="7" borderId="48" xfId="7" applyFont="1" applyFill="1" applyBorder="1" applyAlignment="1">
      <alignment horizontal="left" indent="1"/>
    </xf>
    <xf numFmtId="9" fontId="8" fillId="7" borderId="49" xfId="7" applyNumberFormat="1" applyFill="1" applyBorder="1" applyAlignment="1">
      <alignment horizontal="center" vertical="center"/>
    </xf>
    <xf numFmtId="9" fontId="8" fillId="20" borderId="49" xfId="7" applyNumberFormat="1" applyFill="1" applyBorder="1" applyAlignment="1">
      <alignment horizontal="center" vertical="center"/>
    </xf>
    <xf numFmtId="0" fontId="17" fillId="0" borderId="1" xfId="7" applyFont="1" applyBorder="1" applyAlignment="1">
      <alignment horizontal="left" indent="1"/>
    </xf>
    <xf numFmtId="0" fontId="8" fillId="0" borderId="0" xfId="7" applyAlignment="1"/>
    <xf numFmtId="0" fontId="8" fillId="7" borderId="32" xfId="7" applyFill="1" applyBorder="1" applyAlignment="1"/>
    <xf numFmtId="0" fontId="8" fillId="7" borderId="32" xfId="7" applyFill="1" applyBorder="1" applyAlignment="1">
      <alignment horizontal="left"/>
    </xf>
    <xf numFmtId="0" fontId="8" fillId="20" borderId="32" xfId="7" applyFill="1" applyBorder="1" applyAlignment="1"/>
    <xf numFmtId="0" fontId="8" fillId="7" borderId="16" xfId="7" applyFill="1" applyBorder="1" applyAlignment="1"/>
    <xf numFmtId="0" fontId="8" fillId="7" borderId="2" xfId="7" applyFill="1" applyBorder="1" applyAlignment="1"/>
    <xf numFmtId="0" fontId="8" fillId="20" borderId="16" xfId="7" applyFill="1" applyBorder="1" applyAlignment="1"/>
    <xf numFmtId="0" fontId="8" fillId="20" borderId="2" xfId="7" applyFill="1" applyBorder="1" applyAlignment="1"/>
    <xf numFmtId="0" fontId="52" fillId="13" borderId="0" xfId="7" applyFont="1" applyFill="1" applyAlignment="1">
      <alignment horizontal="center"/>
    </xf>
    <xf numFmtId="188" fontId="0" fillId="0" borderId="0" xfId="0" applyNumberFormat="1" applyFill="1" applyBorder="1" applyAlignment="1">
      <alignment horizontal="left" indent="2" shrinkToFit="1"/>
    </xf>
    <xf numFmtId="187" fontId="0" fillId="0" borderId="0" xfId="0" applyNumberFormat="1" applyFill="1" applyBorder="1" applyAlignment="1">
      <alignment horizontal="left" indent="2" shrinkToFit="1"/>
    </xf>
    <xf numFmtId="3" fontId="0" fillId="0" borderId="0" xfId="0" applyNumberFormat="1" applyAlignment="1">
      <alignment horizontal="right" indent="1" shrinkToFit="1"/>
    </xf>
    <xf numFmtId="0" fontId="0" fillId="2" borderId="7" xfId="0" applyFill="1" applyBorder="1" applyAlignment="1">
      <alignment horizontal="left" indent="1"/>
    </xf>
    <xf numFmtId="0" fontId="0" fillId="2" borderId="7" xfId="0" applyFill="1" applyBorder="1" applyAlignment="1">
      <alignment horizontal="left" indent="1" shrinkToFit="1"/>
    </xf>
    <xf numFmtId="170" fontId="0" fillId="2" borderId="7" xfId="0" applyNumberFormat="1" applyFill="1" applyBorder="1" applyAlignment="1">
      <alignment horizontal="right" indent="1" shrinkToFit="1"/>
    </xf>
    <xf numFmtId="171" fontId="0" fillId="2" borderId="7" xfId="0" applyNumberFormat="1" applyFill="1" applyBorder="1" applyAlignment="1">
      <alignment horizontal="right" indent="1"/>
    </xf>
    <xf numFmtId="164" fontId="0" fillId="0" borderId="0" xfId="0" applyNumberFormat="1" applyAlignment="1">
      <alignment horizontal="right" indent="1" shrinkToFit="1"/>
    </xf>
    <xf numFmtId="189" fontId="0" fillId="0" borderId="0" xfId="0" applyNumberFormat="1" applyAlignment="1">
      <alignment horizontal="right" indent="1" shrinkToFit="1"/>
    </xf>
    <xf numFmtId="182" fontId="28" fillId="14" borderId="0" xfId="5" applyNumberFormat="1" applyFont="1" applyFill="1" applyAlignment="1" applyProtection="1">
      <alignment horizontal="right" indent="1" shrinkToFit="1"/>
    </xf>
    <xf numFmtId="164" fontId="28" fillId="14" borderId="0" xfId="5" applyNumberFormat="1" applyFill="1" applyAlignment="1" applyProtection="1">
      <alignment horizontal="right" indent="1" shrinkToFit="1"/>
    </xf>
    <xf numFmtId="0" fontId="28" fillId="14" borderId="0" xfId="5" applyFill="1" applyAlignment="1" applyProtection="1">
      <alignment horizontal="right" indent="1" shrinkToFit="1"/>
    </xf>
    <xf numFmtId="167" fontId="28" fillId="14" borderId="0" xfId="5" applyNumberFormat="1" applyFill="1" applyAlignment="1" applyProtection="1">
      <alignment horizontal="right" vertical="center" indent="1" shrinkToFit="1"/>
    </xf>
    <xf numFmtId="167" fontId="28" fillId="14" borderId="7" xfId="5" applyNumberFormat="1" applyFill="1" applyBorder="1" applyAlignment="1" applyProtection="1">
      <alignment horizontal="right" vertical="center" indent="1" shrinkToFit="1"/>
    </xf>
    <xf numFmtId="190" fontId="0" fillId="0" borderId="0" xfId="0" applyNumberFormat="1" applyAlignment="1">
      <alignment horizontal="right" indent="1" shrinkToFit="1"/>
    </xf>
    <xf numFmtId="171" fontId="0" fillId="0" borderId="54" xfId="0" applyNumberFormat="1" applyBorder="1" applyAlignment="1">
      <alignment horizontal="right" indent="1"/>
    </xf>
    <xf numFmtId="170" fontId="0" fillId="0" borderId="54" xfId="0" applyNumberFormat="1" applyBorder="1" applyAlignment="1">
      <alignment horizontal="right" indent="1" shrinkToFit="1"/>
    </xf>
    <xf numFmtId="0" fontId="16" fillId="0" borderId="0" xfId="3" applyNumberFormat="1" applyFill="1" applyBorder="1" applyAlignment="1">
      <alignment horizontal="left" indent="2" shrinkToFit="1"/>
    </xf>
    <xf numFmtId="49" fontId="16" fillId="0" borderId="0" xfId="3" applyNumberFormat="1" applyFill="1" applyBorder="1" applyAlignment="1">
      <alignment horizontal="center" shrinkToFit="1"/>
    </xf>
    <xf numFmtId="49" fontId="16" fillId="0" borderId="0" xfId="3" applyNumberFormat="1" applyFill="1" applyBorder="1" applyAlignment="1">
      <alignment horizontal="left" indent="2" shrinkToFit="1"/>
    </xf>
    <xf numFmtId="4" fontId="0" fillId="0" borderId="0" xfId="0" applyNumberFormat="1" applyAlignment="1">
      <alignment horizontal="right" indent="1" shrinkToFit="1"/>
    </xf>
    <xf numFmtId="191" fontId="0" fillId="0" borderId="0" xfId="0" applyNumberFormat="1" applyAlignment="1">
      <alignment horizontal="right" indent="1" shrinkToFit="1"/>
    </xf>
    <xf numFmtId="170" fontId="0" fillId="2" borderId="7" xfId="0" applyNumberFormat="1" applyFill="1" applyBorder="1" applyAlignment="1">
      <alignment horizontal="center" shrinkToFit="1"/>
    </xf>
    <xf numFmtId="49" fontId="0" fillId="2" borderId="7" xfId="0" quotePrefix="1" applyNumberFormat="1" applyFill="1" applyBorder="1" applyAlignment="1">
      <alignment horizontal="center" shrinkToFit="1"/>
    </xf>
    <xf numFmtId="191" fontId="10" fillId="0" borderId="2" xfId="0" applyNumberFormat="1" applyFont="1" applyBorder="1" applyAlignment="1">
      <alignment horizontal="right" indent="1" shrinkToFit="1"/>
    </xf>
    <xf numFmtId="0" fontId="0" fillId="0" borderId="0" xfId="0" applyBorder="1"/>
    <xf numFmtId="0" fontId="0" fillId="7" borderId="0" xfId="0" applyFill="1" applyBorder="1"/>
    <xf numFmtId="191" fontId="0" fillId="0" borderId="11" xfId="0" applyNumberFormat="1" applyBorder="1" applyAlignment="1">
      <alignment shrinkToFit="1"/>
    </xf>
    <xf numFmtId="191" fontId="0" fillId="0" borderId="9" xfId="0" applyNumberFormat="1" applyBorder="1" applyAlignment="1">
      <alignment shrinkToFit="1"/>
    </xf>
    <xf numFmtId="191" fontId="0" fillId="0" borderId="12" xfId="0" applyNumberFormat="1" applyBorder="1" applyAlignment="1">
      <alignment shrinkToFit="1"/>
    </xf>
    <xf numFmtId="191" fontId="0" fillId="0" borderId="10" xfId="0" applyNumberFormat="1" applyBorder="1" applyAlignment="1">
      <alignment shrinkToFit="1"/>
    </xf>
    <xf numFmtId="191" fontId="0" fillId="0" borderId="0" xfId="0" applyNumberFormat="1" applyBorder="1" applyAlignment="1">
      <alignment shrinkToFit="1"/>
    </xf>
    <xf numFmtId="191" fontId="0" fillId="0" borderId="13" xfId="0" applyNumberFormat="1" applyBorder="1" applyAlignment="1">
      <alignment shrinkToFit="1"/>
    </xf>
    <xf numFmtId="191" fontId="0" fillId="0" borderId="15" xfId="0" applyNumberFormat="1" applyBorder="1" applyAlignment="1">
      <alignment shrinkToFit="1"/>
    </xf>
    <xf numFmtId="191" fontId="0" fillId="0" borderId="1" xfId="0" applyNumberFormat="1" applyBorder="1" applyAlignment="1">
      <alignment shrinkToFit="1"/>
    </xf>
    <xf numFmtId="191" fontId="0" fillId="0" borderId="55" xfId="0" applyNumberFormat="1" applyBorder="1" applyAlignment="1">
      <alignment shrinkToFit="1"/>
    </xf>
    <xf numFmtId="0" fontId="59" fillId="0" borderId="0" xfId="0" applyFont="1" applyAlignment="1">
      <alignment horizontal="left" indent="1"/>
    </xf>
    <xf numFmtId="0" fontId="10" fillId="0" borderId="1" xfId="0" applyFont="1" applyBorder="1"/>
    <xf numFmtId="192" fontId="0" fillId="0" borderId="0" xfId="0" applyNumberFormat="1" applyAlignment="1">
      <alignment horizontal="right" indent="1" shrinkToFit="1"/>
    </xf>
    <xf numFmtId="171" fontId="0" fillId="0" borderId="0" xfId="0" applyNumberFormat="1" applyBorder="1" applyAlignment="1">
      <alignment horizontal="center" shrinkToFit="1"/>
    </xf>
    <xf numFmtId="0" fontId="0" fillId="22" borderId="9" xfId="0" applyFill="1" applyBorder="1" applyAlignment="1">
      <alignment horizontal="left" indent="1"/>
    </xf>
    <xf numFmtId="0" fontId="0" fillId="22" borderId="14" xfId="0" applyFill="1" applyBorder="1" applyAlignment="1">
      <alignment horizontal="center"/>
    </xf>
    <xf numFmtId="0" fontId="0" fillId="22" borderId="0" xfId="0" applyFill="1" applyBorder="1"/>
    <xf numFmtId="175" fontId="0" fillId="9" borderId="56" xfId="0" applyNumberFormat="1" applyFill="1" applyBorder="1" applyAlignment="1">
      <alignment horizontal="left" indent="1" shrinkToFit="1"/>
    </xf>
    <xf numFmtId="164" fontId="0" fillId="21" borderId="57" xfId="0" applyNumberFormat="1" applyFill="1" applyBorder="1" applyAlignment="1">
      <alignment horizontal="right" indent="1" shrinkToFit="1"/>
    </xf>
    <xf numFmtId="175" fontId="0" fillId="9" borderId="58" xfId="0" applyNumberFormat="1" applyFill="1" applyBorder="1" applyAlignment="1">
      <alignment horizontal="left" indent="1" shrinkToFit="1"/>
    </xf>
    <xf numFmtId="164" fontId="0" fillId="21" borderId="59" xfId="0" applyNumberFormat="1" applyFill="1" applyBorder="1" applyAlignment="1">
      <alignment horizontal="right" indent="1" shrinkToFit="1"/>
    </xf>
    <xf numFmtId="175" fontId="0" fillId="9" borderId="60" xfId="0" applyNumberFormat="1" applyFill="1" applyBorder="1" applyAlignment="1">
      <alignment horizontal="left" indent="1" shrinkToFit="1"/>
    </xf>
    <xf numFmtId="164" fontId="0" fillId="21" borderId="61" xfId="0" applyNumberFormat="1" applyFill="1" applyBorder="1" applyAlignment="1">
      <alignment horizontal="right" indent="1" shrinkToFit="1"/>
    </xf>
    <xf numFmtId="0" fontId="0" fillId="9" borderId="62" xfId="0" applyFill="1" applyBorder="1" applyAlignment="1">
      <alignment horizontal="left" indent="1" shrinkToFit="1"/>
    </xf>
    <xf numFmtId="0" fontId="0" fillId="9" borderId="63" xfId="0" applyFill="1" applyBorder="1" applyAlignment="1">
      <alignment horizontal="left" indent="1" shrinkToFit="1"/>
    </xf>
    <xf numFmtId="0" fontId="0" fillId="9" borderId="64" xfId="0" applyFill="1" applyBorder="1" applyAlignment="1">
      <alignment horizontal="left" indent="1" shrinkToFit="1"/>
    </xf>
    <xf numFmtId="172" fontId="15" fillId="3" borderId="5" xfId="2" applyNumberFormat="1" applyAlignment="1">
      <alignment horizontal="right" indent="1" shrinkToFit="1"/>
    </xf>
    <xf numFmtId="173" fontId="15" fillId="3" borderId="5" xfId="2" applyNumberFormat="1" applyAlignment="1">
      <alignment horizontal="right" indent="1" shrinkToFit="1"/>
    </xf>
    <xf numFmtId="0" fontId="0" fillId="0" borderId="0" xfId="0" applyAlignment="1">
      <alignment horizontal="left" wrapText="1" indent="1"/>
    </xf>
    <xf numFmtId="0" fontId="7" fillId="0" borderId="0" xfId="7" applyFont="1"/>
    <xf numFmtId="0" fontId="7" fillId="0" borderId="47" xfId="7" applyNumberFormat="1" applyFont="1" applyBorder="1" applyAlignment="1">
      <alignment horizontal="center" vertical="center"/>
    </xf>
    <xf numFmtId="0" fontId="7" fillId="20" borderId="47" xfId="7" applyNumberFormat="1" applyFont="1" applyFill="1" applyBorder="1" applyAlignment="1">
      <alignment horizontal="center" vertical="center"/>
    </xf>
    <xf numFmtId="0" fontId="7" fillId="0" borderId="36" xfId="7" applyNumberFormat="1" applyFont="1" applyBorder="1" applyAlignment="1">
      <alignment horizontal="center" vertical="center"/>
    </xf>
    <xf numFmtId="0" fontId="7" fillId="20" borderId="36" xfId="7" applyNumberFormat="1" applyFont="1" applyFill="1" applyBorder="1" applyAlignment="1">
      <alignment horizontal="center" vertical="center"/>
    </xf>
    <xf numFmtId="0" fontId="16" fillId="4" borderId="6" xfId="3" applyFont="1" applyAlignment="1">
      <alignment horizontal="left" indent="1" shrinkToFit="1"/>
    </xf>
    <xf numFmtId="0" fontId="7" fillId="0" borderId="0" xfId="7" applyFont="1" applyAlignment="1">
      <alignment horizontal="right" indent="1"/>
    </xf>
    <xf numFmtId="0" fontId="6" fillId="0" borderId="47" xfId="7" applyNumberFormat="1" applyFont="1" applyBorder="1" applyAlignment="1">
      <alignment horizontal="center" vertical="center"/>
    </xf>
    <xf numFmtId="0" fontId="61" fillId="7" borderId="33" xfId="7" applyFont="1" applyFill="1" applyBorder="1" applyAlignment="1">
      <alignment horizontal="left"/>
    </xf>
    <xf numFmtId="0" fontId="5" fillId="20" borderId="33" xfId="7" applyFont="1" applyFill="1" applyBorder="1" applyAlignment="1">
      <alignment horizontal="left"/>
    </xf>
    <xf numFmtId="0" fontId="5" fillId="7" borderId="33" xfId="7" applyFont="1" applyFill="1" applyBorder="1" applyAlignment="1">
      <alignment horizontal="left"/>
    </xf>
    <xf numFmtId="0" fontId="61" fillId="0" borderId="47" xfId="7" applyNumberFormat="1" applyFont="1" applyBorder="1" applyAlignment="1">
      <alignment horizontal="center" vertical="center"/>
    </xf>
    <xf numFmtId="0" fontId="61" fillId="0" borderId="36" xfId="7" applyNumberFormat="1" applyFont="1" applyBorder="1" applyAlignment="1">
      <alignment horizontal="center" vertical="center"/>
    </xf>
    <xf numFmtId="0" fontId="5" fillId="7" borderId="0" xfId="4" applyFont="1" applyFill="1" applyAlignment="1">
      <alignment horizontal="left" indent="1"/>
    </xf>
    <xf numFmtId="0" fontId="4" fillId="7" borderId="0" xfId="4" applyFont="1" applyFill="1" applyAlignment="1">
      <alignment horizontal="left" indent="1"/>
    </xf>
    <xf numFmtId="0" fontId="10" fillId="2" borderId="34" xfId="0" applyFont="1" applyFill="1" applyBorder="1" applyAlignment="1">
      <alignment horizontal="left" wrapText="1" indent="1"/>
    </xf>
    <xf numFmtId="0" fontId="64" fillId="7" borderId="0" xfId="4" applyFont="1" applyFill="1" applyAlignment="1">
      <alignment horizontal="center"/>
    </xf>
    <xf numFmtId="0" fontId="3" fillId="7" borderId="0" xfId="4" applyFont="1" applyFill="1" applyAlignment="1">
      <alignment horizontal="left" indent="1"/>
    </xf>
    <xf numFmtId="193" fontId="8" fillId="0" borderId="0" xfId="7" applyNumberFormat="1" applyAlignment="1">
      <alignment horizontal="right" shrinkToFit="1"/>
    </xf>
    <xf numFmtId="0" fontId="55" fillId="0" borderId="0" xfId="7" applyFont="1" applyAlignment="1">
      <alignment horizontal="left" indent="1"/>
    </xf>
    <xf numFmtId="0" fontId="25" fillId="7" borderId="33" xfId="7" applyFont="1" applyFill="1" applyBorder="1" applyAlignment="1">
      <alignment horizontal="left"/>
    </xf>
    <xf numFmtId="0" fontId="25" fillId="0" borderId="47" xfId="7" applyNumberFormat="1" applyFont="1" applyBorder="1" applyAlignment="1">
      <alignment horizontal="center" vertical="center"/>
    </xf>
    <xf numFmtId="0" fontId="25" fillId="0" borderId="36" xfId="7" applyNumberFormat="1" applyFont="1" applyBorder="1" applyAlignment="1">
      <alignment horizontal="center" vertical="center"/>
    </xf>
    <xf numFmtId="0" fontId="2" fillId="0" borderId="46" xfId="7" applyFont="1" applyBorder="1"/>
    <xf numFmtId="0" fontId="2" fillId="0" borderId="1" xfId="7" applyFont="1" applyBorder="1" applyAlignment="1">
      <alignment horizontal="left" indent="1"/>
    </xf>
    <xf numFmtId="0" fontId="0" fillId="0" borderId="0" xfId="0" applyAlignment="1">
      <alignment horizontal="left" vertical="center" wrapText="1" indent="1"/>
    </xf>
    <xf numFmtId="0" fontId="0" fillId="9" borderId="29" xfId="0" applyFill="1" applyBorder="1" applyAlignment="1">
      <alignment horizontal="left" indent="1" shrinkToFit="1"/>
    </xf>
    <xf numFmtId="0" fontId="0" fillId="0" borderId="0" xfId="0" applyAlignment="1">
      <alignment horizontal="left" indent="1" shrinkToFit="1"/>
    </xf>
    <xf numFmtId="0" fontId="10" fillId="8" borderId="10" xfId="0" applyFont="1" applyFill="1" applyBorder="1" applyAlignment="1">
      <alignment horizontal="center" shrinkToFit="1"/>
    </xf>
    <xf numFmtId="0" fontId="10" fillId="8" borderId="0" xfId="0" applyFont="1" applyFill="1" applyBorder="1" applyAlignment="1">
      <alignment horizontal="center" shrinkToFit="1"/>
    </xf>
    <xf numFmtId="0" fontId="0" fillId="0" borderId="0" xfId="0" applyAlignment="1">
      <alignment horizontal="center" shrinkToFit="1"/>
    </xf>
    <xf numFmtId="0" fontId="60" fillId="0" borderId="16"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17" xfId="0" applyFont="1"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wrapText="1"/>
    </xf>
    <xf numFmtId="0" fontId="14" fillId="0" borderId="0" xfId="0" applyFont="1" applyAlignment="1">
      <alignment horizontal="right" vertical="center" wrapText="1" indent="1"/>
    </xf>
    <xf numFmtId="0" fontId="13" fillId="2" borderId="8" xfId="0" applyFont="1" applyFill="1" applyBorder="1" applyAlignment="1">
      <alignment horizontal="left" indent="1" shrinkToFit="1"/>
    </xf>
    <xf numFmtId="0" fontId="0" fillId="0" borderId="8" xfId="0" applyBorder="1" applyAlignment="1">
      <alignment horizontal="left" indent="1" shrinkToFit="1"/>
    </xf>
    <xf numFmtId="170" fontId="0" fillId="0" borderId="2" xfId="0" applyNumberFormat="1" applyBorder="1" applyAlignment="1">
      <alignment horizontal="right" indent="1" shrinkToFit="1"/>
    </xf>
    <xf numFmtId="0" fontId="0" fillId="0" borderId="2" xfId="0" applyBorder="1" applyAlignment="1">
      <alignment horizontal="right" indent="1" shrinkToFit="1"/>
    </xf>
    <xf numFmtId="0" fontId="0" fillId="0" borderId="9" xfId="0" applyBorder="1" applyAlignment="1">
      <alignment horizontal="center" vertical="center" wrapText="1"/>
    </xf>
    <xf numFmtId="0" fontId="0" fillId="7" borderId="33" xfId="0" applyFill="1" applyBorder="1" applyAlignment="1">
      <alignment horizontal="left" wrapText="1" indent="1"/>
    </xf>
    <xf numFmtId="0" fontId="0" fillId="0" borderId="2" xfId="0" applyBorder="1" applyAlignment="1">
      <alignment horizontal="left" wrapText="1" indent="1"/>
    </xf>
    <xf numFmtId="0" fontId="0" fillId="7" borderId="32" xfId="0" applyFill="1" applyBorder="1" applyAlignment="1">
      <alignment horizontal="left" indent="1" shrinkToFit="1"/>
    </xf>
    <xf numFmtId="0" fontId="0" fillId="7" borderId="0" xfId="0" applyFill="1" applyBorder="1" applyAlignment="1">
      <alignment horizontal="left" indent="1" shrinkToFit="1"/>
    </xf>
    <xf numFmtId="0" fontId="0" fillId="7" borderId="30" xfId="0" applyFill="1" applyBorder="1" applyAlignment="1">
      <alignment horizontal="left" indent="1" shrinkToFit="1"/>
    </xf>
    <xf numFmtId="0" fontId="0" fillId="7" borderId="7" xfId="0" applyFill="1" applyBorder="1" applyAlignment="1">
      <alignment horizontal="left" indent="1" shrinkToFit="1"/>
    </xf>
    <xf numFmtId="0" fontId="21" fillId="0" borderId="0" xfId="0" applyFont="1" applyAlignment="1">
      <alignment horizontal="left" indent="1" shrinkToFit="1"/>
    </xf>
    <xf numFmtId="0" fontId="8" fillId="0" borderId="31" xfId="7" applyBorder="1" applyAlignment="1">
      <alignment horizontal="left" vertical="top" wrapText="1" indent="1"/>
    </xf>
    <xf numFmtId="0" fontId="8" fillId="7" borderId="30" xfId="7" applyFill="1" applyBorder="1" applyAlignment="1">
      <alignment horizontal="left" vertical="center" wrapText="1" indent="1"/>
    </xf>
    <xf numFmtId="0" fontId="8" fillId="0" borderId="7" xfId="7" applyBorder="1" applyAlignment="1">
      <alignment horizontal="left" vertical="center" wrapText="1" indent="1"/>
    </xf>
    <xf numFmtId="0" fontId="8" fillId="0" borderId="0" xfId="7" applyAlignment="1">
      <alignment horizontal="left" vertical="top" wrapText="1" indent="1"/>
    </xf>
    <xf numFmtId="0" fontId="15" fillId="3" borderId="5" xfId="2" applyAlignment="1">
      <alignment horizontal="left" vertical="center" wrapText="1" indent="1"/>
    </xf>
    <xf numFmtId="2" fontId="16" fillId="4" borderId="6" xfId="3" applyNumberFormat="1" applyAlignment="1">
      <alignment horizontal="left" indent="1" shrinkToFit="1"/>
    </xf>
    <xf numFmtId="9" fontId="15" fillId="3" borderId="5" xfId="2" applyNumberFormat="1" applyAlignment="1">
      <alignment horizontal="left" vertical="center" wrapText="1" indent="1"/>
    </xf>
    <xf numFmtId="49" fontId="16" fillId="4" borderId="50" xfId="3" applyNumberFormat="1" applyBorder="1" applyAlignment="1">
      <alignment horizontal="left" indent="1" shrinkToFit="1"/>
    </xf>
    <xf numFmtId="0" fontId="0" fillId="0" borderId="51" xfId="0" applyBorder="1" applyAlignment="1">
      <alignment horizontal="left" indent="1" shrinkToFit="1"/>
    </xf>
    <xf numFmtId="0" fontId="0" fillId="0" borderId="52" xfId="0" applyBorder="1" applyAlignment="1">
      <alignment horizontal="left" indent="1" shrinkToFit="1"/>
    </xf>
    <xf numFmtId="9" fontId="16" fillId="0" borderId="53" xfId="3" applyNumberFormat="1" applyFill="1" applyBorder="1" applyAlignment="1">
      <alignment horizontal="left" indent="1"/>
    </xf>
    <xf numFmtId="0" fontId="0" fillId="0" borderId="0" xfId="0" applyFill="1" applyBorder="1" applyAlignment="1">
      <alignment horizontal="left" indent="1"/>
    </xf>
    <xf numFmtId="0" fontId="0" fillId="0" borderId="0" xfId="0" applyFill="1" applyAlignment="1">
      <alignment horizontal="left" indent="1"/>
    </xf>
    <xf numFmtId="0" fontId="8" fillId="20" borderId="30" xfId="7" applyFill="1" applyBorder="1" applyAlignment="1">
      <alignment horizontal="left" vertical="center" wrapText="1" indent="1"/>
    </xf>
    <xf numFmtId="0" fontId="8" fillId="20" borderId="7" xfId="7" applyFill="1" applyBorder="1" applyAlignment="1">
      <alignment horizontal="left" vertical="center" wrapText="1" indent="1"/>
    </xf>
    <xf numFmtId="9" fontId="16" fillId="4" borderId="6" xfId="3" applyNumberFormat="1" applyAlignment="1">
      <alignment horizontal="left" indent="1" shrinkToFit="1"/>
    </xf>
    <xf numFmtId="0" fontId="17" fillId="2" borderId="0" xfId="7" applyFont="1" applyFill="1" applyAlignment="1">
      <alignment horizontal="left" wrapText="1" indent="1"/>
    </xf>
    <xf numFmtId="0" fontId="8" fillId="0" borderId="44" xfId="7" applyBorder="1" applyAlignment="1">
      <alignment horizontal="left" indent="1" shrinkToFit="1"/>
    </xf>
    <xf numFmtId="0" fontId="8" fillId="0" borderId="46" xfId="7" applyBorder="1" applyAlignment="1">
      <alignment horizontal="left" indent="1" shrinkToFit="1"/>
    </xf>
    <xf numFmtId="0" fontId="8" fillId="0" borderId="45" xfId="7" applyBorder="1" applyAlignment="1">
      <alignment horizontal="left" indent="1" shrinkToFit="1"/>
    </xf>
    <xf numFmtId="0" fontId="0" fillId="7" borderId="30" xfId="7" applyFont="1" applyFill="1" applyBorder="1" applyAlignment="1">
      <alignment horizontal="left" vertical="center" wrapText="1" indent="1"/>
    </xf>
    <xf numFmtId="0" fontId="0" fillId="7" borderId="35" xfId="7" applyFont="1" applyFill="1" applyBorder="1" applyAlignment="1">
      <alignment horizontal="left" wrapText="1" indent="1"/>
    </xf>
    <xf numFmtId="0" fontId="0" fillId="0" borderId="8" xfId="0" applyBorder="1" applyAlignment="1">
      <alignment horizontal="left" wrapText="1" indent="1"/>
    </xf>
    <xf numFmtId="0" fontId="48" fillId="19" borderId="0" xfId="5" applyFont="1" applyFill="1" applyAlignment="1">
      <alignment horizontal="left" vertical="center" indent="1" shrinkToFit="1"/>
    </xf>
    <xf numFmtId="0" fontId="13" fillId="19" borderId="0" xfId="0" applyFont="1" applyFill="1" applyAlignment="1">
      <alignment horizontal="left" vertical="center" indent="1" shrinkToFit="1"/>
    </xf>
    <xf numFmtId="0" fontId="29" fillId="0" borderId="0" xfId="5" applyFont="1" applyAlignment="1">
      <alignment horizontal="left" indent="1"/>
    </xf>
    <xf numFmtId="0" fontId="28" fillId="0" borderId="0" xfId="5" applyAlignment="1">
      <alignment horizontal="left" indent="1"/>
    </xf>
    <xf numFmtId="0" fontId="29" fillId="16" borderId="35" xfId="5" applyFont="1" applyFill="1" applyBorder="1" applyAlignment="1">
      <alignment horizontal="center"/>
    </xf>
    <xf numFmtId="0" fontId="29" fillId="16" borderId="8" xfId="5" applyFont="1" applyFill="1" applyBorder="1" applyAlignment="1">
      <alignment horizontal="center"/>
    </xf>
    <xf numFmtId="0" fontId="29" fillId="16" borderId="34" xfId="5" applyFont="1" applyFill="1" applyBorder="1" applyAlignment="1">
      <alignment horizontal="center"/>
    </xf>
    <xf numFmtId="0" fontId="29" fillId="16" borderId="33" xfId="5" applyFont="1" applyFill="1" applyBorder="1" applyAlignment="1">
      <alignment horizontal="center"/>
    </xf>
    <xf numFmtId="0" fontId="29" fillId="16" borderId="2" xfId="5" applyFont="1" applyFill="1" applyBorder="1" applyAlignment="1">
      <alignment horizontal="center"/>
    </xf>
    <xf numFmtId="0" fontId="29" fillId="16" borderId="16" xfId="5" applyFont="1" applyFill="1" applyBorder="1" applyAlignment="1">
      <alignment horizontal="center"/>
    </xf>
    <xf numFmtId="184" fontId="30" fillId="13" borderId="0" xfId="5" quotePrefix="1" applyNumberFormat="1" applyFont="1" applyFill="1" applyAlignment="1">
      <alignment horizontal="right" vertical="center" indent="1" shrinkToFit="1"/>
    </xf>
    <xf numFmtId="184" fontId="28" fillId="13" borderId="0" xfId="5" applyNumberFormat="1" applyFill="1" applyAlignment="1">
      <alignment horizontal="right" vertical="center" indent="1" shrinkToFit="1"/>
    </xf>
    <xf numFmtId="0" fontId="35" fillId="0" borderId="0" xfId="5" applyFont="1" applyAlignment="1">
      <alignment horizontal="left" vertical="center" indent="1" shrinkToFit="1"/>
    </xf>
    <xf numFmtId="0" fontId="35" fillId="0" borderId="0" xfId="5" applyFont="1" applyAlignment="1">
      <alignment horizontal="left" vertical="center" indent="1"/>
    </xf>
    <xf numFmtId="0" fontId="1" fillId="10" borderId="0" xfId="4" applyFont="1" applyFill="1" applyAlignment="1">
      <alignment wrapText="1"/>
    </xf>
  </cellXfs>
  <cellStyles count="10">
    <cellStyle name="Input" xfId="2" builtinId="20"/>
    <cellStyle name="Input 2" xfId="8"/>
    <cellStyle name="Normal" xfId="0" builtinId="0"/>
    <cellStyle name="Normal 2" xfId="4"/>
    <cellStyle name="Normal 3" xfId="5"/>
    <cellStyle name="Normal 4" xfId="7"/>
    <cellStyle name="Normal 4 2" xfId="9"/>
    <cellStyle name="Output" xfId="3" builtinId="21"/>
    <cellStyle name="Percent" xfId="1" builtinId="5"/>
    <cellStyle name="Percent 2" xfId="6"/>
  </cellStyles>
  <dxfs count="20">
    <dxf>
      <fill>
        <patternFill>
          <bgColor rgb="FFFFFF00"/>
        </patternFill>
      </fill>
    </dxf>
    <dxf>
      <fill>
        <patternFill>
          <bgColor rgb="FFFFFF00"/>
        </patternFill>
      </fill>
    </dxf>
    <dxf>
      <fill>
        <patternFill>
          <bgColor indexed="10"/>
        </patternFill>
      </fill>
    </dxf>
    <dxf>
      <fill>
        <patternFill>
          <bgColor indexed="10"/>
        </patternFill>
      </fill>
    </dxf>
    <dxf>
      <fill>
        <patternFill>
          <bgColor indexed="10"/>
        </patternFill>
      </fill>
    </dxf>
    <dxf>
      <fill>
        <patternFill>
          <bgColor indexed="42"/>
        </patternFill>
      </fill>
    </dxf>
    <dxf>
      <fill>
        <patternFill>
          <bgColor indexed="10"/>
        </patternFill>
      </fill>
    </dxf>
    <dxf>
      <fill>
        <patternFill>
          <bgColor indexed="47"/>
        </patternFill>
      </fill>
    </dxf>
    <dxf>
      <fill>
        <patternFill>
          <bgColor indexed="10"/>
        </patternFill>
      </fill>
    </dxf>
    <dxf>
      <fill>
        <patternFill>
          <bgColor indexed="43"/>
        </patternFill>
      </fill>
    </dxf>
    <dxf>
      <fill>
        <patternFill>
          <bgColor indexed="10"/>
        </patternFill>
      </fill>
    </dxf>
    <dxf>
      <fill>
        <patternFill>
          <bgColor indexed="42"/>
        </patternFill>
      </fill>
    </dxf>
    <dxf>
      <font>
        <color theme="0" tint="-0.499984740745262"/>
      </font>
    </dxf>
    <dxf>
      <font>
        <color rgb="FFFF0000"/>
      </font>
      <fill>
        <patternFill>
          <bgColor rgb="FFFFFF00"/>
        </patternFill>
      </fill>
    </dxf>
    <dxf>
      <fill>
        <patternFill>
          <bgColor rgb="FF00FF00"/>
        </patternFill>
      </fill>
    </dxf>
    <dxf>
      <font>
        <color rgb="FFFF0000"/>
      </font>
      <fill>
        <patternFill>
          <bgColor rgb="FFFFDDD5"/>
        </patternFill>
      </fill>
    </dxf>
    <dxf>
      <fill>
        <patternFill>
          <bgColor rgb="FFFFFF00"/>
        </patternFill>
      </fill>
    </dxf>
    <dxf>
      <font>
        <b/>
        <i val="0"/>
        <color rgb="FFFFFF00"/>
      </font>
      <fill>
        <patternFill>
          <bgColor rgb="FFFF0000"/>
        </patternFill>
      </fill>
    </dxf>
    <dxf>
      <fill>
        <gradientFill degree="90">
          <stop position="0">
            <color theme="0"/>
          </stop>
          <stop position="1">
            <color rgb="FFFF0000"/>
          </stop>
        </gradientFill>
      </fill>
    </dxf>
    <dxf>
      <fill>
        <patternFill>
          <bgColor rgb="FFFFFF66"/>
        </patternFill>
      </fill>
    </dxf>
  </dxfs>
  <tableStyles count="0" defaultTableStyle="TableStyleMedium2" defaultPivotStyle="PivotStyleLight16"/>
  <colors>
    <mruColors>
      <color rgb="FFFFDDD5"/>
      <color rgb="FF7F7F7F"/>
      <color rgb="FFE4CAB6"/>
      <color rgb="FFE4D0B2"/>
      <color rgb="FFFFCC99"/>
      <color rgb="FFE6E6E6"/>
      <color rgb="FFF2F2F2"/>
      <color rgb="FF3F3F3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Life cycle costing'!D63"/><Relationship Id="rId1" Type="http://schemas.openxmlformats.org/officeDocument/2006/relationships/hyperlink" Target="#'Life cycle costing'!D62"/></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5178</xdr:rowOff>
    </xdr:from>
    <xdr:to>
      <xdr:col>1</xdr:col>
      <xdr:colOff>600075</xdr:colOff>
      <xdr:row>3</xdr:row>
      <xdr:rowOff>123825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550" y="586203"/>
          <a:ext cx="561975" cy="5091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3619501</xdr:colOff>
      <xdr:row>39</xdr:row>
      <xdr:rowOff>10886</xdr:rowOff>
    </xdr:from>
    <xdr:to>
      <xdr:col>5</xdr:col>
      <xdr:colOff>44825</xdr:colOff>
      <xdr:row>39</xdr:row>
      <xdr:rowOff>201385</xdr:rowOff>
    </xdr:to>
    <xdr:sp macro="" textlink="">
      <xdr:nvSpPr>
        <xdr:cNvPr id="2" name="Rectangle 1" descr="Deze tekstbox is vóór de invulvelden geplaatst, om onbedoelde wijzigingen te voorkomen." title="Bescherming!">
          <a:hlinkClick xmlns:r="http://schemas.openxmlformats.org/officeDocument/2006/relationships" r:id="rId1" tooltip="Verwijzing naar de plaats om deze gegevens te veranderen."/>
        </xdr:cNvPr>
        <xdr:cNvSpPr/>
      </xdr:nvSpPr>
      <xdr:spPr>
        <a:xfrm>
          <a:off x="3913415" y="8626929"/>
          <a:ext cx="964667" cy="190499"/>
        </a:xfrm>
        <a:prstGeom prst="rect">
          <a:avLst/>
        </a:prstGeom>
        <a:noFill/>
        <a:ln w="25400">
          <a:solidFill>
            <a:schemeClr val="bg1">
              <a:alpha val="2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3619501</xdr:colOff>
      <xdr:row>40</xdr:row>
      <xdr:rowOff>9988</xdr:rowOff>
    </xdr:from>
    <xdr:to>
      <xdr:col>5</xdr:col>
      <xdr:colOff>44825</xdr:colOff>
      <xdr:row>41</xdr:row>
      <xdr:rowOff>5443</xdr:rowOff>
    </xdr:to>
    <xdr:sp macro="" textlink="">
      <xdr:nvSpPr>
        <xdr:cNvPr id="3" name="Rectangle 2" descr="Deze tekstbox is vóór de invulvelden geplaatst, om onbedoelde wijzigingen te voorkomen." title="Bescherming!">
          <a:hlinkClick xmlns:r="http://schemas.openxmlformats.org/officeDocument/2006/relationships" r:id="rId2" tooltip="Verwijzing naar de plaats om deze gegevens te veranderen."/>
        </xdr:cNvPr>
        <xdr:cNvSpPr/>
      </xdr:nvSpPr>
      <xdr:spPr>
        <a:xfrm>
          <a:off x="3913415" y="8827417"/>
          <a:ext cx="964667" cy="196840"/>
        </a:xfrm>
        <a:prstGeom prst="rect">
          <a:avLst/>
        </a:prstGeom>
        <a:noFill/>
        <a:ln w="25400">
          <a:solidFill>
            <a:schemeClr val="bg1">
              <a:alpha val="2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xdr:row>
      <xdr:rowOff>5178</xdr:rowOff>
    </xdr:from>
    <xdr:to>
      <xdr:col>1</xdr:col>
      <xdr:colOff>600075</xdr:colOff>
      <xdr:row>3</xdr:row>
      <xdr:rowOff>123825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550" y="586203"/>
          <a:ext cx="561975" cy="5091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TORK_PC/Geerthenk.wijnants/Stork/Projecten/WCM_CUI/RB_CUI_Management/ToolBP_CuiManagementPlanning(Mei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sheetName val="Installatie"/>
      <sheetName val="Weergave"/>
      <sheetName val="NEN-EN 16991"/>
    </sheetNames>
    <sheetDataSet>
      <sheetData sheetId="0"/>
      <sheetData sheetId="1"/>
      <sheetData sheetId="2"/>
      <sheetData sheetId="3">
        <row r="3">
          <cell r="AB3">
            <v>10</v>
          </cell>
          <cell r="AC3">
            <v>110</v>
          </cell>
          <cell r="AD3">
            <v>1100</v>
          </cell>
          <cell r="AE3">
            <v>11000</v>
          </cell>
          <cell r="AF3">
            <v>107500</v>
          </cell>
        </row>
        <row r="4">
          <cell r="AB4">
            <v>1.6666666666666667</v>
          </cell>
          <cell r="AC4">
            <v>18.333333333333332</v>
          </cell>
          <cell r="AD4">
            <v>183.33333333333334</v>
          </cell>
          <cell r="AE4">
            <v>1833.3333333333333</v>
          </cell>
          <cell r="AF4">
            <v>17916.666666666668</v>
          </cell>
        </row>
        <row r="5">
          <cell r="AB5">
            <v>0.33333333333333331</v>
          </cell>
          <cell r="AC5">
            <v>3.6666666666666665</v>
          </cell>
          <cell r="AD5">
            <v>36.666666666666664</v>
          </cell>
          <cell r="AE5">
            <v>366.66666666666669</v>
          </cell>
          <cell r="AF5">
            <v>3583.3333333333335</v>
          </cell>
        </row>
        <row r="6">
          <cell r="AB6">
            <v>6.6666666666666666E-2</v>
          </cell>
          <cell r="AC6">
            <v>0.73333333333333328</v>
          </cell>
          <cell r="AD6">
            <v>7.333333333333333</v>
          </cell>
          <cell r="AE6">
            <v>73.333333333333329</v>
          </cell>
          <cell r="AF6">
            <v>716.66666666666663</v>
          </cell>
        </row>
        <row r="7">
          <cell r="AB7">
            <v>8.8888888888888889E-3</v>
          </cell>
          <cell r="AC7">
            <v>9.7777777777777783E-2</v>
          </cell>
          <cell r="AD7">
            <v>0.97777777777777775</v>
          </cell>
          <cell r="AE7">
            <v>9.7777777777777786</v>
          </cell>
          <cell r="AF7">
            <v>95.555555555555557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249977111117893"/>
    <pageSetUpPr fitToPage="1"/>
  </sheetPr>
  <dimension ref="A1:H49"/>
  <sheetViews>
    <sheetView showRowColHeaders="0" tabSelected="1" zoomScaleNormal="100" workbookViewId="0">
      <selection activeCell="C28" sqref="C28"/>
    </sheetView>
  </sheetViews>
  <sheetFormatPr defaultColWidth="0" defaultRowHeight="15" customHeight="1" zeroHeight="1" x14ac:dyDescent="0.3"/>
  <cols>
    <col min="1" max="1" width="14" style="62" customWidth="1"/>
    <col min="2" max="2" width="9.140625" style="62" customWidth="1"/>
    <col min="3" max="3" width="36.28515625" style="62" customWidth="1"/>
    <col min="4" max="4" width="11.7109375" style="62" customWidth="1"/>
    <col min="5" max="5" width="15.7109375" style="62" customWidth="1"/>
    <col min="6" max="6" width="56.42578125" style="62" customWidth="1"/>
    <col min="7" max="7" width="9.140625" style="62" customWidth="1"/>
    <col min="8" max="8" width="0.140625" style="62" customWidth="1"/>
    <col min="9" max="16384" width="9.140625" style="62" hidden="1"/>
  </cols>
  <sheetData>
    <row r="1" spans="1:8" ht="45.75" thickBot="1" x14ac:dyDescent="0.35">
      <c r="A1" s="60"/>
      <c r="B1" s="60"/>
      <c r="C1" s="60"/>
      <c r="D1" s="60"/>
      <c r="E1" s="60"/>
      <c r="F1" s="60"/>
      <c r="G1" s="60"/>
      <c r="H1" s="61" t="s">
        <v>146</v>
      </c>
    </row>
    <row r="2" spans="1:8" x14ac:dyDescent="0.3">
      <c r="A2" s="60"/>
      <c r="B2" s="63"/>
      <c r="C2" s="64"/>
      <c r="D2" s="64"/>
      <c r="E2" s="64"/>
      <c r="F2" s="64"/>
      <c r="G2" s="65"/>
      <c r="H2" s="66"/>
    </row>
    <row r="3" spans="1:8" ht="15.75" thickBot="1" x14ac:dyDescent="0.35">
      <c r="A3" s="60"/>
      <c r="B3" s="67"/>
      <c r="C3" s="68"/>
      <c r="D3" s="68"/>
      <c r="E3" s="68"/>
      <c r="F3" s="68"/>
      <c r="G3" s="69" t="s">
        <v>147</v>
      </c>
      <c r="H3" s="66"/>
    </row>
    <row r="4" spans="1:8" ht="27.75" x14ac:dyDescent="0.45">
      <c r="A4" s="60"/>
      <c r="B4" s="70"/>
      <c r="C4" s="71" t="s">
        <v>148</v>
      </c>
      <c r="D4" s="72"/>
      <c r="E4" s="72"/>
      <c r="F4" s="341" t="s">
        <v>350</v>
      </c>
      <c r="G4" s="70"/>
      <c r="H4" s="66"/>
    </row>
    <row r="5" spans="1:8" x14ac:dyDescent="0.3">
      <c r="A5" s="60"/>
      <c r="B5" s="70"/>
      <c r="C5" s="73" t="s">
        <v>149</v>
      </c>
      <c r="D5" s="74" t="s">
        <v>150</v>
      </c>
      <c r="E5" s="74"/>
      <c r="F5" s="72"/>
      <c r="G5" s="70"/>
      <c r="H5" s="66"/>
    </row>
    <row r="6" spans="1:8" x14ac:dyDescent="0.3">
      <c r="A6" s="60"/>
      <c r="B6" s="70"/>
      <c r="C6" s="342" t="s">
        <v>351</v>
      </c>
      <c r="D6" s="72"/>
      <c r="E6" s="72"/>
      <c r="F6" s="72"/>
      <c r="G6" s="70"/>
      <c r="H6" s="66"/>
    </row>
    <row r="7" spans="1:8" x14ac:dyDescent="0.3">
      <c r="A7" s="60"/>
      <c r="B7" s="70"/>
      <c r="C7" s="339" t="s">
        <v>349</v>
      </c>
      <c r="D7" s="72"/>
      <c r="E7" s="72"/>
      <c r="F7" s="72"/>
      <c r="G7" s="70"/>
      <c r="H7" s="66"/>
    </row>
    <row r="8" spans="1:8" x14ac:dyDescent="0.3">
      <c r="A8" s="60"/>
      <c r="B8" s="70"/>
      <c r="C8" s="342" t="s">
        <v>352</v>
      </c>
      <c r="D8" s="72"/>
      <c r="E8" s="72"/>
      <c r="F8" s="72"/>
      <c r="G8" s="70"/>
      <c r="H8" s="66"/>
    </row>
    <row r="9" spans="1:8" x14ac:dyDescent="0.3">
      <c r="A9" s="60"/>
      <c r="B9" s="70"/>
      <c r="C9" s="338" t="s">
        <v>342</v>
      </c>
      <c r="D9" s="72"/>
      <c r="E9" s="72"/>
      <c r="F9" s="72"/>
      <c r="G9" s="70"/>
      <c r="H9" s="66"/>
    </row>
    <row r="10" spans="1:8" x14ac:dyDescent="0.3">
      <c r="A10" s="60"/>
      <c r="B10" s="70"/>
      <c r="C10" s="74"/>
      <c r="D10" s="72"/>
      <c r="E10" s="72"/>
      <c r="F10" s="72"/>
      <c r="G10" s="70"/>
      <c r="H10" s="66"/>
    </row>
    <row r="11" spans="1:8" x14ac:dyDescent="0.3">
      <c r="A11" s="60"/>
      <c r="B11" s="70"/>
      <c r="C11" s="342" t="s">
        <v>353</v>
      </c>
      <c r="D11" s="72"/>
      <c r="E11" s="72"/>
      <c r="F11" s="72"/>
      <c r="G11" s="70"/>
      <c r="H11" s="66"/>
    </row>
    <row r="12" spans="1:8" x14ac:dyDescent="0.3">
      <c r="A12" s="60"/>
      <c r="B12" s="70"/>
      <c r="C12" s="342" t="s">
        <v>354</v>
      </c>
      <c r="D12" s="72"/>
      <c r="E12" s="72"/>
      <c r="F12" s="72"/>
      <c r="G12" s="70"/>
      <c r="H12" s="66"/>
    </row>
    <row r="13" spans="1:8" x14ac:dyDescent="0.3">
      <c r="A13" s="60"/>
      <c r="B13" s="70"/>
      <c r="C13" s="74" t="s">
        <v>151</v>
      </c>
      <c r="D13" s="72"/>
      <c r="E13" s="72"/>
      <c r="F13" s="72"/>
      <c r="G13" s="70"/>
      <c r="H13" s="66"/>
    </row>
    <row r="14" spans="1:8" x14ac:dyDescent="0.3">
      <c r="A14" s="60"/>
      <c r="B14" s="70"/>
      <c r="C14" s="74"/>
      <c r="D14" s="72"/>
      <c r="E14" s="72"/>
      <c r="F14" s="72"/>
      <c r="G14" s="70"/>
      <c r="H14" s="66"/>
    </row>
    <row r="15" spans="1:8" ht="15.75" x14ac:dyDescent="0.35">
      <c r="A15" s="60"/>
      <c r="B15" s="70"/>
      <c r="C15" s="74" t="s">
        <v>152</v>
      </c>
      <c r="D15" s="72"/>
      <c r="E15" s="72"/>
      <c r="F15" s="72"/>
      <c r="G15" s="70"/>
      <c r="H15" s="66"/>
    </row>
    <row r="16" spans="1:8" x14ac:dyDescent="0.3">
      <c r="A16" s="60"/>
      <c r="B16" s="70"/>
      <c r="C16" s="75" t="s">
        <v>153</v>
      </c>
      <c r="D16" s="58" t="s">
        <v>57</v>
      </c>
      <c r="E16" s="76"/>
      <c r="F16" s="72"/>
      <c r="G16" s="70"/>
      <c r="H16" s="66"/>
    </row>
    <row r="17" spans="1:8" x14ac:dyDescent="0.3">
      <c r="A17" s="60"/>
      <c r="B17" s="70"/>
      <c r="C17" s="75" t="s">
        <v>154</v>
      </c>
      <c r="D17" s="77" t="s">
        <v>58</v>
      </c>
      <c r="E17" s="76"/>
      <c r="F17" s="72"/>
      <c r="G17" s="70"/>
      <c r="H17" s="66"/>
    </row>
    <row r="18" spans="1:8" x14ac:dyDescent="0.3">
      <c r="A18" s="60"/>
      <c r="B18" s="70"/>
      <c r="C18" s="75"/>
      <c r="D18" s="76"/>
      <c r="E18" s="76"/>
      <c r="F18" s="72"/>
      <c r="G18" s="70"/>
      <c r="H18" s="66"/>
    </row>
    <row r="19" spans="1:8" x14ac:dyDescent="0.3">
      <c r="A19" s="60"/>
      <c r="B19" s="70"/>
      <c r="C19" s="78" t="s">
        <v>155</v>
      </c>
      <c r="D19" s="76"/>
      <c r="E19" s="76"/>
      <c r="F19" s="72"/>
      <c r="G19" s="70"/>
      <c r="H19" s="66"/>
    </row>
    <row r="20" spans="1:8" x14ac:dyDescent="0.3">
      <c r="A20" s="60"/>
      <c r="B20" s="70"/>
      <c r="C20" s="79" t="s">
        <v>157</v>
      </c>
      <c r="D20" s="80"/>
      <c r="E20" s="80"/>
      <c r="F20" s="72"/>
      <c r="G20" s="70"/>
      <c r="H20" s="66"/>
    </row>
    <row r="21" spans="1:8" x14ac:dyDescent="0.3">
      <c r="A21" s="60"/>
      <c r="B21" s="70"/>
      <c r="C21" s="79" t="s">
        <v>158</v>
      </c>
      <c r="D21" s="80"/>
      <c r="E21" s="80"/>
      <c r="F21" s="72"/>
      <c r="G21" s="70"/>
      <c r="H21" s="66"/>
    </row>
    <row r="22" spans="1:8" x14ac:dyDescent="0.3">
      <c r="A22" s="60"/>
      <c r="B22" s="70"/>
      <c r="C22" s="79" t="s">
        <v>159</v>
      </c>
      <c r="D22" s="80"/>
      <c r="E22" s="80"/>
      <c r="F22" s="72"/>
      <c r="G22" s="70"/>
      <c r="H22" s="66"/>
    </row>
    <row r="23" spans="1:8" x14ac:dyDescent="0.3">
      <c r="A23" s="60"/>
      <c r="B23" s="70"/>
      <c r="C23" s="342" t="s">
        <v>355</v>
      </c>
      <c r="D23" s="80"/>
      <c r="E23" s="80"/>
      <c r="F23" s="72"/>
      <c r="G23" s="70"/>
      <c r="H23" s="66"/>
    </row>
    <row r="24" spans="1:8" x14ac:dyDescent="0.3">
      <c r="A24" s="60"/>
      <c r="B24" s="70"/>
      <c r="C24" s="74" t="s">
        <v>160</v>
      </c>
      <c r="D24" s="80"/>
      <c r="E24" s="80"/>
      <c r="F24" s="72"/>
      <c r="G24" s="70"/>
      <c r="H24" s="66"/>
    </row>
    <row r="25" spans="1:8" x14ac:dyDescent="0.3">
      <c r="A25" s="60"/>
      <c r="B25" s="70"/>
      <c r="C25" s="74" t="s">
        <v>161</v>
      </c>
      <c r="D25" s="80"/>
      <c r="E25" s="80"/>
      <c r="F25" s="72"/>
      <c r="G25" s="70"/>
      <c r="H25" s="66"/>
    </row>
    <row r="26" spans="1:8" x14ac:dyDescent="0.3">
      <c r="A26" s="60"/>
      <c r="B26" s="70"/>
      <c r="C26" s="74" t="s">
        <v>162</v>
      </c>
      <c r="D26" s="80"/>
      <c r="E26" s="80"/>
      <c r="F26" s="72"/>
      <c r="G26" s="70"/>
      <c r="H26" s="66"/>
    </row>
    <row r="27" spans="1:8" x14ac:dyDescent="0.3">
      <c r="A27" s="60"/>
      <c r="B27" s="70"/>
      <c r="C27" s="74" t="s">
        <v>163</v>
      </c>
      <c r="D27" s="80"/>
      <c r="E27" s="80"/>
      <c r="F27" s="72"/>
      <c r="G27" s="70"/>
      <c r="H27" s="66"/>
    </row>
    <row r="28" spans="1:8" x14ac:dyDescent="0.3">
      <c r="A28" s="60"/>
      <c r="B28" s="70"/>
      <c r="C28" s="74"/>
      <c r="D28" s="76"/>
      <c r="E28" s="76"/>
      <c r="F28" s="72"/>
      <c r="G28" s="70"/>
      <c r="H28" s="66"/>
    </row>
    <row r="29" spans="1:8" x14ac:dyDescent="0.3">
      <c r="A29" s="60"/>
      <c r="B29" s="70"/>
      <c r="C29" s="78" t="s">
        <v>156</v>
      </c>
      <c r="D29" s="76"/>
      <c r="E29" s="76"/>
      <c r="F29" s="72"/>
      <c r="G29" s="70"/>
      <c r="H29" s="66"/>
    </row>
    <row r="30" spans="1:8" x14ac:dyDescent="0.3">
      <c r="A30" s="60"/>
      <c r="B30" s="70"/>
      <c r="C30" s="81" t="s">
        <v>164</v>
      </c>
      <c r="D30" s="76"/>
      <c r="E30" s="76"/>
      <c r="F30" s="72"/>
      <c r="G30" s="70"/>
      <c r="H30" s="66"/>
    </row>
    <row r="31" spans="1:8" x14ac:dyDescent="0.3">
      <c r="A31" s="60"/>
      <c r="B31" s="70"/>
      <c r="C31" s="81" t="s">
        <v>165</v>
      </c>
      <c r="D31" s="76"/>
      <c r="E31" s="76"/>
      <c r="F31" s="72"/>
      <c r="G31" s="70"/>
      <c r="H31" s="66"/>
    </row>
    <row r="32" spans="1:8" x14ac:dyDescent="0.3">
      <c r="A32" s="60"/>
      <c r="B32" s="70"/>
      <c r="C32" s="81" t="s">
        <v>166</v>
      </c>
      <c r="D32" s="76"/>
      <c r="E32" s="76"/>
      <c r="F32" s="72"/>
      <c r="G32" s="70"/>
      <c r="H32" s="66"/>
    </row>
    <row r="33" spans="1:8" x14ac:dyDescent="0.3">
      <c r="A33" s="60"/>
      <c r="B33" s="70"/>
      <c r="C33" s="339" t="s">
        <v>345</v>
      </c>
      <c r="D33" s="76"/>
      <c r="E33" s="76"/>
      <c r="F33" s="72"/>
      <c r="G33" s="70"/>
      <c r="H33" s="66"/>
    </row>
    <row r="34" spans="1:8" ht="15.75" thickBot="1" x14ac:dyDescent="0.35">
      <c r="A34" s="60"/>
      <c r="B34" s="70"/>
      <c r="C34" s="82"/>
      <c r="D34" s="83"/>
      <c r="E34" s="83"/>
      <c r="F34" s="87" t="s">
        <v>167</v>
      </c>
      <c r="G34" s="70"/>
      <c r="H34" s="66"/>
    </row>
    <row r="35" spans="1:8" x14ac:dyDescent="0.3">
      <c r="A35" s="60"/>
      <c r="B35" s="67"/>
      <c r="C35" s="64"/>
      <c r="D35" s="64"/>
      <c r="E35" s="64"/>
      <c r="F35" s="64"/>
      <c r="G35" s="84"/>
      <c r="H35" s="66"/>
    </row>
    <row r="36" spans="1:8" ht="15.75" thickBot="1" x14ac:dyDescent="0.35">
      <c r="A36" s="60"/>
      <c r="B36" s="85"/>
      <c r="C36" s="68"/>
      <c r="D36" s="68"/>
      <c r="E36" s="68"/>
      <c r="F36" s="68"/>
      <c r="G36" s="86"/>
      <c r="H36" s="66"/>
    </row>
    <row r="37" spans="1:8" hidden="1" x14ac:dyDescent="0.3"/>
    <row r="38" spans="1:8" hidden="1" x14ac:dyDescent="0.3"/>
    <row r="39" spans="1:8" hidden="1" x14ac:dyDescent="0.3"/>
    <row r="40" spans="1:8" hidden="1" x14ac:dyDescent="0.3"/>
    <row r="41" spans="1:8" hidden="1" x14ac:dyDescent="0.3"/>
    <row r="42" spans="1:8" hidden="1" x14ac:dyDescent="0.3"/>
    <row r="43" spans="1:8" hidden="1" x14ac:dyDescent="0.3"/>
    <row r="44" spans="1:8" hidden="1" x14ac:dyDescent="0.3"/>
    <row r="45" spans="1:8" hidden="1" x14ac:dyDescent="0.3"/>
    <row r="46" spans="1:8" hidden="1" x14ac:dyDescent="0.3"/>
    <row r="47" spans="1:8" hidden="1" x14ac:dyDescent="0.3"/>
    <row r="48" spans="1:8" hidden="1" x14ac:dyDescent="0.3"/>
    <row r="49" hidden="1" x14ac:dyDescent="0.3"/>
  </sheetData>
  <pageMargins left="0.70866141732283472" right="0.70866141732283472" top="1.3385826771653544" bottom="0.74803149606299213" header="0.31496062992125984" footer="0.31496062992125984"/>
  <pageSetup paperSize="9" orientation="landscape" r:id="rId1"/>
  <headerFooter>
    <oddHeader>&amp;L&amp;G&amp;RWorld Class Maintenance project: Risk Based CUI Management.</oddHeader>
    <oddFooter>&amp;L&amp;9File / Tab: &amp;F / &amp;A&amp;C&amp;9Printdatum: &amp;D&amp;R&amp;9Bladzijde &amp;P van &amp;N.</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4" tint="-0.249977111117893"/>
  </sheetPr>
  <dimension ref="A1:K22"/>
  <sheetViews>
    <sheetView zoomScale="85" zoomScaleNormal="85" workbookViewId="0">
      <selection activeCell="B12" sqref="B12"/>
    </sheetView>
  </sheetViews>
  <sheetFormatPr defaultColWidth="0" defaultRowHeight="15" zeroHeight="1" x14ac:dyDescent="0.25"/>
  <cols>
    <col min="1" max="1" width="5.140625" customWidth="1"/>
    <col min="2" max="2" width="34.140625" customWidth="1"/>
    <col min="3" max="3" width="11" customWidth="1"/>
    <col min="4" max="7" width="13.42578125" customWidth="1"/>
    <col min="8" max="8" width="19" customWidth="1"/>
    <col min="9" max="9" width="56.85546875" customWidth="1"/>
    <col min="10" max="10" width="14.5703125" customWidth="1"/>
    <col min="11" max="11" width="4.28515625" customWidth="1"/>
    <col min="12" max="16384" width="9.140625" hidden="1"/>
  </cols>
  <sheetData>
    <row r="1" spans="1:11" x14ac:dyDescent="0.25">
      <c r="A1" s="2" t="s">
        <v>116</v>
      </c>
      <c r="B1" s="2"/>
      <c r="K1" s="45"/>
    </row>
    <row r="2" spans="1:11" x14ac:dyDescent="0.25">
      <c r="A2" s="46"/>
      <c r="B2" s="45"/>
      <c r="C2" s="45"/>
      <c r="D2" s="45"/>
      <c r="E2" s="45"/>
      <c r="F2" s="45"/>
      <c r="G2" s="45"/>
      <c r="H2" s="45"/>
      <c r="I2" s="45"/>
      <c r="J2" s="45"/>
      <c r="K2" s="45"/>
    </row>
    <row r="3" spans="1:11" x14ac:dyDescent="0.25">
      <c r="A3" s="46"/>
      <c r="B3" s="4" t="s">
        <v>118</v>
      </c>
      <c r="C3" s="351" t="s">
        <v>111</v>
      </c>
      <c r="D3" s="352"/>
      <c r="E3" s="45"/>
      <c r="F3" s="45"/>
      <c r="G3" s="45"/>
      <c r="H3" s="45"/>
      <c r="I3" s="45"/>
      <c r="J3" s="45"/>
      <c r="K3" s="45"/>
    </row>
    <row r="4" spans="1:11" x14ac:dyDescent="0.25">
      <c r="A4" s="46"/>
      <c r="B4" s="4" t="s">
        <v>117</v>
      </c>
      <c r="C4" s="59">
        <v>2500</v>
      </c>
      <c r="D4" s="353" t="s">
        <v>126</v>
      </c>
      <c r="E4" s="354"/>
      <c r="F4" s="354"/>
      <c r="G4" s="354"/>
      <c r="H4" s="355"/>
      <c r="I4" s="45"/>
      <c r="J4" s="45"/>
      <c r="K4" s="45"/>
    </row>
    <row r="5" spans="1:11" ht="46.5" thickBot="1" x14ac:dyDescent="0.3">
      <c r="A5" s="46"/>
      <c r="B5" s="41" t="s">
        <v>119</v>
      </c>
      <c r="C5" s="89">
        <f>(C4/100)*INDEX('Life cycle costing'!A17:$F$81,(MATCH(C3,'Life cycle costing'!$A$17:$A$81,0)+VLOOKUP(C3,'Life cycle costing'!$A$17:$F$81,6,FALSE)),6)</f>
        <v>2796000</v>
      </c>
      <c r="D5" s="42" t="s">
        <v>111</v>
      </c>
      <c r="E5" s="43" t="s">
        <v>110</v>
      </c>
      <c r="F5" s="43" t="s">
        <v>112</v>
      </c>
      <c r="G5" s="43" t="s">
        <v>125</v>
      </c>
      <c r="H5" s="43" t="s">
        <v>307</v>
      </c>
      <c r="I5" s="90" t="s">
        <v>128</v>
      </c>
      <c r="J5" s="54" t="s">
        <v>119</v>
      </c>
      <c r="K5" s="45"/>
    </row>
    <row r="6" spans="1:11" x14ac:dyDescent="0.25">
      <c r="A6" s="45"/>
      <c r="B6" s="313" t="s">
        <v>121</v>
      </c>
      <c r="C6" s="314">
        <v>300</v>
      </c>
      <c r="D6" s="297">
        <f t="dataTable" ref="D6:H17" dt2D="1" dtr="1" r1="C3" r2="C4" ca="1"/>
        <v>335520</v>
      </c>
      <c r="E6" s="298">
        <v>176280</v>
      </c>
      <c r="F6" s="298">
        <v>600000</v>
      </c>
      <c r="G6" s="298">
        <v>178740</v>
      </c>
      <c r="H6" s="299">
        <v>522929.0683024337</v>
      </c>
      <c r="I6" s="319" t="s">
        <v>110</v>
      </c>
      <c r="J6" s="44">
        <f t="shared" ref="J6:J17" si="0">IFERROR(INDEX($D$6:$H$17,ROW()-ROW($J$5),MATCH(I6,$D$5:$H$5,0)),"")</f>
        <v>176280</v>
      </c>
      <c r="K6" s="45"/>
    </row>
    <row r="7" spans="1:11" x14ac:dyDescent="0.25">
      <c r="A7" s="46"/>
      <c r="B7" s="315" t="s">
        <v>122</v>
      </c>
      <c r="C7" s="316">
        <v>100</v>
      </c>
      <c r="D7" s="300">
        <v>111840</v>
      </c>
      <c r="E7" s="301">
        <v>58760</v>
      </c>
      <c r="F7" s="301">
        <v>200000</v>
      </c>
      <c r="G7" s="301">
        <v>59580</v>
      </c>
      <c r="H7" s="302">
        <v>174309.68943414456</v>
      </c>
      <c r="I7" s="320" t="s">
        <v>125</v>
      </c>
      <c r="J7" s="44">
        <f t="shared" si="0"/>
        <v>59580</v>
      </c>
      <c r="K7" s="45"/>
    </row>
    <row r="8" spans="1:11" x14ac:dyDescent="0.25">
      <c r="A8" s="46"/>
      <c r="B8" s="315" t="s">
        <v>371</v>
      </c>
      <c r="C8" s="316">
        <v>1000</v>
      </c>
      <c r="D8" s="300">
        <v>1118400</v>
      </c>
      <c r="E8" s="301">
        <v>587600</v>
      </c>
      <c r="F8" s="301">
        <v>2000000</v>
      </c>
      <c r="G8" s="301">
        <v>595800</v>
      </c>
      <c r="H8" s="302">
        <v>1743096.8943414455</v>
      </c>
      <c r="I8" s="320" t="s">
        <v>111</v>
      </c>
      <c r="J8" s="44">
        <f t="shared" si="0"/>
        <v>1118400</v>
      </c>
      <c r="K8" s="45"/>
    </row>
    <row r="9" spans="1:11" x14ac:dyDescent="0.25">
      <c r="A9" s="46"/>
      <c r="B9" s="315" t="s">
        <v>369</v>
      </c>
      <c r="C9" s="316">
        <v>3000</v>
      </c>
      <c r="D9" s="300">
        <v>3355200</v>
      </c>
      <c r="E9" s="301">
        <v>1762800</v>
      </c>
      <c r="F9" s="301">
        <v>6000000</v>
      </c>
      <c r="G9" s="301">
        <v>1787400</v>
      </c>
      <c r="H9" s="302">
        <v>5229290.6830243366</v>
      </c>
      <c r="I9" s="320" t="s">
        <v>110</v>
      </c>
      <c r="J9" s="44">
        <f t="shared" si="0"/>
        <v>1762800</v>
      </c>
      <c r="K9" s="45"/>
    </row>
    <row r="10" spans="1:11" x14ac:dyDescent="0.25">
      <c r="A10" s="46"/>
      <c r="B10" s="315" t="s">
        <v>370</v>
      </c>
      <c r="C10" s="316">
        <v>10000</v>
      </c>
      <c r="D10" s="300">
        <v>11184000</v>
      </c>
      <c r="E10" s="301">
        <v>5876000</v>
      </c>
      <c r="F10" s="301">
        <v>20000000</v>
      </c>
      <c r="G10" s="301">
        <v>5958000</v>
      </c>
      <c r="H10" s="302">
        <v>17430968.943414457</v>
      </c>
      <c r="I10" s="320" t="s">
        <v>110</v>
      </c>
      <c r="J10" s="44">
        <f t="shared" si="0"/>
        <v>5876000</v>
      </c>
      <c r="K10" s="45"/>
    </row>
    <row r="11" spans="1:11" x14ac:dyDescent="0.25">
      <c r="A11" s="46"/>
      <c r="B11" s="315" t="s">
        <v>127</v>
      </c>
      <c r="C11" s="316">
        <v>2500</v>
      </c>
      <c r="D11" s="300">
        <v>2796000</v>
      </c>
      <c r="E11" s="301">
        <v>1469000</v>
      </c>
      <c r="F11" s="301">
        <v>5000000</v>
      </c>
      <c r="G11" s="301">
        <v>1489500</v>
      </c>
      <c r="H11" s="302">
        <v>4357742.2358536143</v>
      </c>
      <c r="I11" s="320" t="s">
        <v>307</v>
      </c>
      <c r="J11" s="44">
        <f t="shared" si="0"/>
        <v>4357742.2358536143</v>
      </c>
      <c r="K11" s="45"/>
    </row>
    <row r="12" spans="1:11" x14ac:dyDescent="0.25">
      <c r="A12" s="46"/>
      <c r="B12" s="315"/>
      <c r="C12" s="316"/>
      <c r="D12" s="300">
        <v>0</v>
      </c>
      <c r="E12" s="301">
        <v>0</v>
      </c>
      <c r="F12" s="301">
        <v>0</v>
      </c>
      <c r="G12" s="301">
        <v>0</v>
      </c>
      <c r="H12" s="302">
        <v>0</v>
      </c>
      <c r="I12" s="320"/>
      <c r="J12" s="44" t="str">
        <f t="shared" si="0"/>
        <v/>
      </c>
      <c r="K12" s="45"/>
    </row>
    <row r="13" spans="1:11" x14ac:dyDescent="0.25">
      <c r="A13" s="46"/>
      <c r="B13" s="315"/>
      <c r="C13" s="316"/>
      <c r="D13" s="300">
        <v>0</v>
      </c>
      <c r="E13" s="301">
        <v>0</v>
      </c>
      <c r="F13" s="301">
        <v>0</v>
      </c>
      <c r="G13" s="301">
        <v>0</v>
      </c>
      <c r="H13" s="302">
        <v>0</v>
      </c>
      <c r="I13" s="320"/>
      <c r="J13" s="44" t="str">
        <f t="shared" si="0"/>
        <v/>
      </c>
      <c r="K13" s="45"/>
    </row>
    <row r="14" spans="1:11" x14ac:dyDescent="0.25">
      <c r="A14" s="46"/>
      <c r="B14" s="315"/>
      <c r="C14" s="316"/>
      <c r="D14" s="300">
        <v>0</v>
      </c>
      <c r="E14" s="301">
        <v>0</v>
      </c>
      <c r="F14" s="301">
        <v>0</v>
      </c>
      <c r="G14" s="301">
        <v>0</v>
      </c>
      <c r="H14" s="302">
        <v>0</v>
      </c>
      <c r="I14" s="320"/>
      <c r="J14" s="44" t="str">
        <f t="shared" si="0"/>
        <v/>
      </c>
      <c r="K14" s="45"/>
    </row>
    <row r="15" spans="1:11" x14ac:dyDescent="0.25">
      <c r="A15" s="46"/>
      <c r="B15" s="315"/>
      <c r="C15" s="316"/>
      <c r="D15" s="300">
        <v>0</v>
      </c>
      <c r="E15" s="301">
        <v>0</v>
      </c>
      <c r="F15" s="301">
        <v>0</v>
      </c>
      <c r="G15" s="301">
        <v>0</v>
      </c>
      <c r="H15" s="302">
        <v>0</v>
      </c>
      <c r="I15" s="320"/>
      <c r="J15" s="44" t="str">
        <f t="shared" si="0"/>
        <v/>
      </c>
      <c r="K15" s="45"/>
    </row>
    <row r="16" spans="1:11" x14ac:dyDescent="0.25">
      <c r="A16" s="46"/>
      <c r="B16" s="315"/>
      <c r="C16" s="316"/>
      <c r="D16" s="300">
        <v>0</v>
      </c>
      <c r="E16" s="301">
        <v>0</v>
      </c>
      <c r="F16" s="301">
        <v>0</v>
      </c>
      <c r="G16" s="301">
        <v>0</v>
      </c>
      <c r="H16" s="302">
        <v>0</v>
      </c>
      <c r="I16" s="320"/>
      <c r="J16" s="44" t="str">
        <f t="shared" si="0"/>
        <v/>
      </c>
      <c r="K16" s="45"/>
    </row>
    <row r="17" spans="1:11" ht="15.75" thickBot="1" x14ac:dyDescent="0.3">
      <c r="A17" s="46"/>
      <c r="B17" s="317"/>
      <c r="C17" s="318"/>
      <c r="D17" s="303">
        <v>0</v>
      </c>
      <c r="E17" s="304">
        <v>0</v>
      </c>
      <c r="F17" s="304">
        <v>0</v>
      </c>
      <c r="G17" s="304">
        <v>0</v>
      </c>
      <c r="H17" s="305">
        <v>0</v>
      </c>
      <c r="I17" s="321"/>
      <c r="J17" s="44" t="str">
        <f t="shared" si="0"/>
        <v/>
      </c>
      <c r="K17" s="45"/>
    </row>
    <row r="18" spans="1:11" x14ac:dyDescent="0.25">
      <c r="A18" s="47"/>
      <c r="B18" s="310"/>
      <c r="C18" s="311" t="s">
        <v>120</v>
      </c>
      <c r="D18" s="312"/>
      <c r="E18" s="296"/>
      <c r="F18" s="296"/>
      <c r="G18" s="295"/>
      <c r="H18" s="295"/>
      <c r="I18" s="11" t="s">
        <v>321</v>
      </c>
      <c r="J18" s="51">
        <f>SUM($J$6:$J$17)</f>
        <v>13350802.235853614</v>
      </c>
      <c r="K18" s="45"/>
    </row>
    <row r="19" spans="1:11" x14ac:dyDescent="0.25">
      <c r="A19" s="46"/>
      <c r="B19" s="46"/>
      <c r="C19" s="45"/>
      <c r="D19" s="45"/>
      <c r="E19" s="45"/>
      <c r="F19" s="45"/>
      <c r="G19" s="45"/>
      <c r="H19" s="45"/>
      <c r="I19" s="52" t="s">
        <v>130</v>
      </c>
      <c r="J19" s="53">
        <f>J18/RemLifeTimDef</f>
        <v>333770.05589634035</v>
      </c>
      <c r="K19" s="45"/>
    </row>
    <row r="20" spans="1:11" ht="33" customHeight="1" x14ac:dyDescent="0.25">
      <c r="A20" s="46"/>
      <c r="B20" s="350" t="s">
        <v>322</v>
      </c>
      <c r="C20" s="350"/>
      <c r="D20" s="350"/>
      <c r="E20" s="350"/>
      <c r="F20" s="350"/>
      <c r="G20" s="350"/>
      <c r="H20" s="350"/>
      <c r="I20" s="350"/>
      <c r="K20" s="45"/>
    </row>
    <row r="21" spans="1:11" ht="28.5" customHeight="1" x14ac:dyDescent="0.25">
      <c r="A21" s="46"/>
      <c r="B21" s="350" t="s">
        <v>129</v>
      </c>
      <c r="C21" s="350"/>
      <c r="D21" s="350"/>
      <c r="E21" s="350"/>
      <c r="F21" s="350"/>
      <c r="G21" s="350"/>
      <c r="H21" s="350"/>
      <c r="I21" s="350"/>
      <c r="K21" s="45"/>
    </row>
    <row r="22" spans="1:11" x14ac:dyDescent="0.25">
      <c r="A22" s="46"/>
      <c r="B22" s="46"/>
      <c r="C22" s="45"/>
      <c r="D22" s="45"/>
      <c r="E22" s="45"/>
      <c r="F22" s="45"/>
      <c r="G22" s="45"/>
      <c r="H22" s="45"/>
      <c r="I22" s="45"/>
      <c r="J22" s="45"/>
      <c r="K22" s="45"/>
    </row>
  </sheetData>
  <mergeCells count="4">
    <mergeCell ref="B20:I20"/>
    <mergeCell ref="B21:I21"/>
    <mergeCell ref="C3:D3"/>
    <mergeCell ref="D4:H4"/>
  </mergeCells>
  <conditionalFormatting sqref="D6:H17">
    <cfRule type="expression" dxfId="19" priority="1">
      <formula>IF(MATCH($I6,$D$5:$H$5,0)=COLUMN(D6)-COLUMN($C6),1,0)</formula>
    </cfRule>
  </conditionalFormatting>
  <dataValidations count="9">
    <dataValidation type="list" allowBlank="1" showInputMessage="1" showErrorMessage="1" promptTitle="Leiding lengte:" prompt="Gekozen lengte waarmee de berekening die op het blad [life cycle costing] wordt uitgevoerd, wordt gecorrigeerd (op het blad wordt standaard van 100 meter uitgegaan)" sqref="C4">
      <formula1>$C$6:$C$17</formula1>
    </dataValidation>
    <dataValidation type="list" allowBlank="1" showInputMessage="1" showErrorMessage="1" promptTitle="Scenario:" prompt="Het scenario waarmee het CUI mechanisme wordt gemanaged." sqref="C3:D3">
      <formula1>$D$5:$H$5</formula1>
    </dataValidation>
    <dataValidation type="list" allowBlank="1" showInputMessage="1" showErrorMessage="1" promptTitle="Scenario keuze:" prompt="Selecteer het scenario wat van toepassing is verklaard op de betreffende leiding." sqref="I6:I17">
      <formula1>$D$5:$H$5</formula1>
    </dataValidation>
    <dataValidation allowBlank="1" showInputMessage="1" showErrorMessage="1" promptTitle="Scenario keuze:" prompt="Het onderhoudsscenario wat voor de betreffende leiding is vastgesteld, gegeven de functie en de toestand (cq. het risicoprofiel van die leiding) en het beschikbare budget." sqref="I5"/>
    <dataValidation type="custom" showInputMessage="1" showErrorMessage="1" errorTitle="Nota bene:" error="Deze cel is afgeschermd om ongewenste verandering van de berekening te voorkomen." sqref="A19:A22 J2:J5 B1:K1 I2 E2:H3 H6:H17 A2:A18 I3 I4 B2:I2 K2:K22 D4:H4 B5 B1:B5 A1 D5:G17 I21:I22 J18:J22 I18 I19 B18:H19 B21:H22 B20:I20">
      <formula1>0</formula1>
    </dataValidation>
    <dataValidation allowBlank="1" showInputMessage="1" showErrorMessage="1" promptTitle="Leiding gegevens:" prompt="Voer in deze cel de leidinggegevens in die van toepassing zijn in de specifiek bedrijfssituatie." sqref="B6:C17"/>
    <dataValidation type="custom" showInputMessage="1" showErrorMessage="1" errorTitle="Nota bene:" error="Deze cel is afgeschermd om ongewenste verandering van de berekening te voorkomen." sqref="H5">
      <formula1>0</formula1>
    </dataValidation>
    <dataValidation type="custom" showInputMessage="1" showErrorMessage="1" errorTitle="Nota bene:" error="Deze cel is afgeschermd om ongewenste verandering van de berekening te voorkomen." sqref="J6:J17">
      <formula1>0</formula1>
    </dataValidation>
    <dataValidation showInputMessage="1" showErrorMessage="1" errorTitle="Nota bene:" error="Deze cel is afgeschermd om ongewenste verandering van de berekening te voorkomen." sqref="C5"/>
  </dataValidations>
  <pageMargins left="0.7" right="0.7" top="0.75" bottom="0.75" header="0.3" footer="0.3"/>
  <pageSetup paperSize="9" orientation="portrait" horizontalDpi="4294967295" verticalDpi="4294967295"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FFFF00"/>
    <outlinePr summaryBelow="0" summaryRight="0"/>
  </sheetPr>
  <dimension ref="A1:AV87"/>
  <sheetViews>
    <sheetView topLeftCell="A52" zoomScale="85" zoomScaleNormal="85" workbookViewId="0">
      <selection activeCell="A26" sqref="A26"/>
    </sheetView>
  </sheetViews>
  <sheetFormatPr defaultColWidth="0" defaultRowHeight="15" zeroHeight="1" outlineLevelCol="1" x14ac:dyDescent="0.25"/>
  <cols>
    <col min="1" max="1" width="97.28515625" customWidth="1" collapsed="1"/>
    <col min="2" max="2" width="64.85546875" hidden="1" customWidth="1" outlineLevel="1"/>
    <col min="3" max="3" width="13.5703125" hidden="1" customWidth="1" outlineLevel="1"/>
    <col min="4" max="4" width="14.85546875" customWidth="1"/>
    <col min="5" max="5" width="12.85546875" customWidth="1"/>
    <col min="6" max="6" width="16.42578125" customWidth="1"/>
    <col min="7" max="7" width="7.85546875" customWidth="1"/>
    <col min="8" max="8" width="10" customWidth="1"/>
    <col min="9" max="16384" width="10" hidden="1"/>
  </cols>
  <sheetData>
    <row r="1" spans="1:7" ht="108.75" x14ac:dyDescent="0.25">
      <c r="A1" s="324" t="s">
        <v>323</v>
      </c>
    </row>
    <row r="2" spans="1:7" x14ac:dyDescent="0.25"/>
    <row r="3" spans="1:7" ht="15.75" thickBot="1" x14ac:dyDescent="0.3">
      <c r="A3" s="22" t="s">
        <v>356</v>
      </c>
      <c r="B3" s="22" t="s">
        <v>39</v>
      </c>
      <c r="C3" s="29"/>
      <c r="D3" s="307"/>
      <c r="E3" s="1"/>
      <c r="F3" s="1"/>
    </row>
    <row r="4" spans="1:7" ht="15.75" x14ac:dyDescent="0.3">
      <c r="A4" s="23" t="s">
        <v>313</v>
      </c>
      <c r="B4" s="3" t="s">
        <v>40</v>
      </c>
      <c r="C4" s="30"/>
      <c r="D4" s="322">
        <v>4</v>
      </c>
      <c r="E4" s="361" t="s">
        <v>108</v>
      </c>
      <c r="F4" s="361"/>
    </row>
    <row r="5" spans="1:7" ht="15.75" x14ac:dyDescent="0.3">
      <c r="A5" s="23" t="s">
        <v>314</v>
      </c>
      <c r="B5" s="3" t="s">
        <v>41</v>
      </c>
      <c r="C5" s="30"/>
      <c r="D5" s="323">
        <v>4</v>
      </c>
      <c r="E5" s="361"/>
      <c r="F5" s="361"/>
    </row>
    <row r="6" spans="1:7" x14ac:dyDescent="0.25">
      <c r="A6" s="23"/>
      <c r="B6" s="3"/>
      <c r="C6" s="30"/>
      <c r="D6" s="308">
        <f>10^D5</f>
        <v>10000</v>
      </c>
      <c r="E6" s="4"/>
      <c r="F6" s="4"/>
    </row>
    <row r="7" spans="1:7" ht="45.75" thickBot="1" x14ac:dyDescent="0.3">
      <c r="A7" s="27" t="s">
        <v>71</v>
      </c>
      <c r="B7" s="22" t="s">
        <v>42</v>
      </c>
      <c r="C7" s="31"/>
      <c r="D7" s="24" t="s">
        <v>98</v>
      </c>
      <c r="E7" s="24" t="s">
        <v>43</v>
      </c>
      <c r="F7" s="4"/>
    </row>
    <row r="8" spans="1:7" x14ac:dyDescent="0.25">
      <c r="A8" s="23" t="s">
        <v>72</v>
      </c>
      <c r="B8" s="3" t="s">
        <v>44</v>
      </c>
      <c r="C8" s="30"/>
      <c r="D8" s="5">
        <v>100</v>
      </c>
      <c r="E8" s="3" t="s">
        <v>123</v>
      </c>
      <c r="F8" s="4"/>
    </row>
    <row r="9" spans="1:7" x14ac:dyDescent="0.25">
      <c r="A9" s="23" t="s">
        <v>73</v>
      </c>
      <c r="B9" s="3" t="s">
        <v>14</v>
      </c>
      <c r="C9" s="30"/>
      <c r="D9" s="4"/>
      <c r="E9" s="4"/>
      <c r="F9" s="4"/>
    </row>
    <row r="10" spans="1:7" x14ac:dyDescent="0.25">
      <c r="A10" s="23" t="s">
        <v>74</v>
      </c>
      <c r="B10" s="3" t="s">
        <v>38</v>
      </c>
      <c r="C10" s="30"/>
      <c r="D10" s="6">
        <v>40</v>
      </c>
      <c r="E10" s="3" t="s">
        <v>124</v>
      </c>
      <c r="F10" s="4"/>
    </row>
    <row r="11" spans="1:7" x14ac:dyDescent="0.25">
      <c r="A11" s="23" t="s">
        <v>107</v>
      </c>
      <c r="B11" s="3" t="s">
        <v>12</v>
      </c>
      <c r="C11" s="30"/>
      <c r="D11" s="4"/>
      <c r="E11" s="4"/>
      <c r="F11" s="4"/>
    </row>
    <row r="12" spans="1:7" x14ac:dyDescent="0.25">
      <c r="A12" s="23" t="s">
        <v>75</v>
      </c>
      <c r="B12" s="3" t="s">
        <v>45</v>
      </c>
      <c r="C12" s="30"/>
      <c r="D12" s="7">
        <v>0.2</v>
      </c>
      <c r="E12" s="4"/>
      <c r="F12" s="4"/>
    </row>
    <row r="13" spans="1:7" x14ac:dyDescent="0.25">
      <c r="A13" s="23" t="s">
        <v>76</v>
      </c>
      <c r="B13" s="3" t="s">
        <v>46</v>
      </c>
      <c r="C13" s="30"/>
      <c r="D13" s="8">
        <v>10</v>
      </c>
      <c r="E13" s="4"/>
      <c r="F13" s="4"/>
    </row>
    <row r="14" spans="1:7" x14ac:dyDescent="0.25">
      <c r="A14" s="23" t="s">
        <v>77</v>
      </c>
      <c r="B14" s="3" t="s">
        <v>47</v>
      </c>
      <c r="C14" s="30"/>
      <c r="D14" s="9">
        <v>2</v>
      </c>
      <c r="E14" s="4"/>
      <c r="F14" s="4"/>
    </row>
    <row r="15" spans="1:7" x14ac:dyDescent="0.25">
      <c r="A15" s="3"/>
      <c r="B15" s="3"/>
      <c r="C15" s="30"/>
      <c r="D15" s="9"/>
      <c r="E15" s="4"/>
      <c r="F15" s="4"/>
    </row>
    <row r="16" spans="1:7" ht="30.75" x14ac:dyDescent="0.3">
      <c r="A16" s="362" t="s">
        <v>78</v>
      </c>
      <c r="B16" s="363"/>
      <c r="C16" s="39" t="s">
        <v>33</v>
      </c>
      <c r="D16" s="40" t="s">
        <v>25</v>
      </c>
      <c r="E16" s="40" t="s">
        <v>37</v>
      </c>
      <c r="F16" s="40" t="s">
        <v>48</v>
      </c>
      <c r="G16" s="340"/>
    </row>
    <row r="17" spans="1:48" ht="15.75" thickBot="1" x14ac:dyDescent="0.3">
      <c r="A17" s="18" t="s">
        <v>111</v>
      </c>
      <c r="B17" s="15" t="s">
        <v>0</v>
      </c>
      <c r="C17" s="37"/>
      <c r="D17" s="38"/>
      <c r="E17" s="38"/>
      <c r="F17" s="36">
        <f>ROW(F28)-ROW()</f>
        <v>11</v>
      </c>
    </row>
    <row r="18" spans="1:48" x14ac:dyDescent="0.25">
      <c r="A18" s="3" t="s">
        <v>79</v>
      </c>
      <c r="B18" s="3" t="s">
        <v>22</v>
      </c>
      <c r="C18" s="30"/>
      <c r="D18" s="12">
        <v>4000</v>
      </c>
      <c r="E18" s="14">
        <v>20</v>
      </c>
      <c r="F18" s="12">
        <f>D18*TRUNC($D$10/E18)</f>
        <v>8000</v>
      </c>
    </row>
    <row r="19" spans="1:48" x14ac:dyDescent="0.25">
      <c r="A19" s="3" t="s">
        <v>80</v>
      </c>
      <c r="B19" s="3" t="s">
        <v>23</v>
      </c>
      <c r="C19" s="30"/>
      <c r="D19" s="12">
        <v>300</v>
      </c>
      <c r="E19" s="14">
        <v>5</v>
      </c>
      <c r="F19" s="12">
        <f>D19*TRUNC($D$10/E19)</f>
        <v>2400</v>
      </c>
    </row>
    <row r="20" spans="1:48" x14ac:dyDescent="0.25">
      <c r="A20" s="3" t="s">
        <v>131</v>
      </c>
      <c r="B20" s="3" t="s">
        <v>13</v>
      </c>
      <c r="C20" s="30"/>
      <c r="D20" s="12">
        <v>320</v>
      </c>
      <c r="E20" s="14">
        <v>10</v>
      </c>
      <c r="F20" s="12">
        <f>D20*TRUNC(IF(ISBLANK($D$10),RemLifeTimDef,$D$10)/IF(ISBLANK(E20),VisInspIntDef,E20))</f>
        <v>1280</v>
      </c>
    </row>
    <row r="21" spans="1:48" x14ac:dyDescent="0.25">
      <c r="A21" s="3" t="s">
        <v>84</v>
      </c>
      <c r="B21" s="3" t="s">
        <v>30</v>
      </c>
      <c r="C21" s="30"/>
      <c r="D21" s="12">
        <v>720</v>
      </c>
      <c r="E21" s="14">
        <v>5</v>
      </c>
      <c r="F21" s="12">
        <f t="shared" ref="F21:F26" si="0">D21*TRUNC($D$10/E21)</f>
        <v>5760</v>
      </c>
    </row>
    <row r="22" spans="1:48" x14ac:dyDescent="0.25">
      <c r="A22" s="3" t="s">
        <v>81</v>
      </c>
      <c r="B22" s="3" t="s">
        <v>19</v>
      </c>
      <c r="C22" s="30"/>
      <c r="D22" s="12">
        <v>300</v>
      </c>
      <c r="E22" s="14">
        <v>5</v>
      </c>
      <c r="F22" s="12">
        <f t="shared" si="0"/>
        <v>2400</v>
      </c>
    </row>
    <row r="23" spans="1:48" ht="16.5" x14ac:dyDescent="0.3">
      <c r="A23" s="3" t="s">
        <v>83</v>
      </c>
      <c r="B23" s="3" t="s">
        <v>82</v>
      </c>
      <c r="C23" s="30"/>
      <c r="D23" s="12">
        <v>18000</v>
      </c>
      <c r="E23" s="14">
        <v>10</v>
      </c>
      <c r="F23" s="12">
        <f t="shared" si="0"/>
        <v>72000</v>
      </c>
    </row>
    <row r="24" spans="1:48" x14ac:dyDescent="0.25">
      <c r="A24" s="3" t="s">
        <v>92</v>
      </c>
      <c r="B24" s="3" t="s">
        <v>20</v>
      </c>
      <c r="C24" s="30"/>
      <c r="D24" s="12">
        <v>3400</v>
      </c>
      <c r="E24" s="14">
        <v>10</v>
      </c>
      <c r="F24" s="12">
        <f t="shared" si="0"/>
        <v>13600</v>
      </c>
    </row>
    <row r="25" spans="1:48" x14ac:dyDescent="0.25">
      <c r="A25" s="3" t="s">
        <v>85</v>
      </c>
      <c r="B25" s="3" t="s">
        <v>21</v>
      </c>
      <c r="C25" s="30"/>
      <c r="D25" s="12">
        <v>1500</v>
      </c>
      <c r="E25" s="14">
        <v>10</v>
      </c>
      <c r="F25" s="12">
        <f t="shared" si="0"/>
        <v>6000</v>
      </c>
    </row>
    <row r="26" spans="1:48" x14ac:dyDescent="0.25">
      <c r="A26" s="3" t="s">
        <v>86</v>
      </c>
      <c r="B26" s="3" t="s">
        <v>49</v>
      </c>
      <c r="C26" s="30"/>
      <c r="D26" s="12">
        <v>400</v>
      </c>
      <c r="E26" s="14">
        <v>40</v>
      </c>
      <c r="F26" s="12">
        <f t="shared" si="0"/>
        <v>400</v>
      </c>
    </row>
    <row r="27" spans="1:48" x14ac:dyDescent="0.25">
      <c r="A27" s="3" t="s">
        <v>343</v>
      </c>
      <c r="B27" s="3" t="s">
        <v>27</v>
      </c>
      <c r="C27" s="30"/>
      <c r="D27" s="4"/>
      <c r="E27" s="4"/>
      <c r="F27" s="4"/>
      <c r="AV27" s="1"/>
    </row>
    <row r="28" spans="1:48" x14ac:dyDescent="0.25">
      <c r="A28" s="10" t="s">
        <v>87</v>
      </c>
      <c r="B28" s="10" t="s">
        <v>50</v>
      </c>
      <c r="C28" s="33"/>
      <c r="D28" s="11"/>
      <c r="E28" s="11"/>
      <c r="F28" s="13">
        <f>SUM(F18:F26)</f>
        <v>111840</v>
      </c>
    </row>
    <row r="29" spans="1:48" x14ac:dyDescent="0.25">
      <c r="A29" s="3"/>
      <c r="B29" s="3"/>
      <c r="C29" s="30"/>
      <c r="D29" s="4"/>
      <c r="E29" s="4"/>
      <c r="F29" s="4"/>
    </row>
    <row r="30" spans="1:48" ht="60.75" thickBot="1" x14ac:dyDescent="0.3">
      <c r="A30" s="21"/>
      <c r="B30" s="15" t="s">
        <v>1</v>
      </c>
      <c r="C30" s="34"/>
      <c r="D30" s="19" t="s">
        <v>114</v>
      </c>
      <c r="E30" s="19" t="s">
        <v>115</v>
      </c>
      <c r="F30" s="19" t="s">
        <v>113</v>
      </c>
    </row>
    <row r="31" spans="1:48" ht="15.75" thickBot="1" x14ac:dyDescent="0.3">
      <c r="A31" s="18" t="s">
        <v>110</v>
      </c>
      <c r="B31" s="20"/>
      <c r="C31" s="35"/>
      <c r="D31" s="19"/>
      <c r="E31" s="19"/>
      <c r="F31" s="36">
        <f>ROW(F40)-ROW()</f>
        <v>9</v>
      </c>
      <c r="AL31" t="s">
        <v>2</v>
      </c>
      <c r="AM31" t="s">
        <v>3</v>
      </c>
      <c r="AN31" t="s">
        <v>4</v>
      </c>
      <c r="AO31" t="s">
        <v>5</v>
      </c>
      <c r="AP31" t="s">
        <v>6</v>
      </c>
      <c r="AQ31" t="s">
        <v>7</v>
      </c>
      <c r="AR31" t="s">
        <v>8</v>
      </c>
      <c r="AS31" t="s">
        <v>9</v>
      </c>
      <c r="AT31" t="s">
        <v>10</v>
      </c>
      <c r="AU31" t="s">
        <v>11</v>
      </c>
    </row>
    <row r="32" spans="1:48" x14ac:dyDescent="0.25">
      <c r="A32" s="3" t="s">
        <v>88</v>
      </c>
      <c r="B32" s="3" t="s">
        <v>23</v>
      </c>
      <c r="C32" s="30"/>
      <c r="D32" s="12">
        <v>300</v>
      </c>
      <c r="E32" s="14">
        <v>5</v>
      </c>
      <c r="F32" s="12">
        <f>D32*TRUNC(IF(ISBLANK($D$10),RemLifeTimDef,$D$10)/IF(ISBLANK(E32),ScrInspIntDef,E32))</f>
        <v>2400</v>
      </c>
      <c r="AP32">
        <v>300</v>
      </c>
      <c r="AV32">
        <f>SUM(G32:AU32)</f>
        <v>300</v>
      </c>
    </row>
    <row r="33" spans="1:48" x14ac:dyDescent="0.25">
      <c r="A33" s="3" t="s">
        <v>89</v>
      </c>
      <c r="B33" s="3" t="s">
        <v>26</v>
      </c>
      <c r="C33" s="30"/>
      <c r="D33" s="12">
        <f>2400/2</f>
        <v>1200</v>
      </c>
      <c r="E33" s="14">
        <v>5</v>
      </c>
      <c r="F33" s="12">
        <f>D33*TRUNC(IF(ISBLANK($D$10),RemLifeTimDef,$D$10)/IF(ISBLANK(E33),ScrInspIntDef,E33))</f>
        <v>9600</v>
      </c>
      <c r="AP33">
        <v>1500</v>
      </c>
      <c r="AV33">
        <f t="shared" ref="AV33:AV37" si="1">SUM(G33:AU33)</f>
        <v>1500</v>
      </c>
    </row>
    <row r="34" spans="1:48" x14ac:dyDescent="0.25">
      <c r="A34" s="3" t="s">
        <v>109</v>
      </c>
      <c r="B34" s="3" t="s">
        <v>29</v>
      </c>
      <c r="C34" s="30"/>
      <c r="D34" s="12">
        <v>5000</v>
      </c>
      <c r="E34" s="14">
        <v>40</v>
      </c>
      <c r="F34" s="12">
        <f>D34*TRUNC(IF(ISBLANK($D$10),RemLifeTimDef,$D$10)/IF(ISBLANK(E34),RemLifeTimDef,E34))</f>
        <v>5000</v>
      </c>
      <c r="AV34">
        <f t="shared" si="1"/>
        <v>0</v>
      </c>
    </row>
    <row r="35" spans="1:48" x14ac:dyDescent="0.25">
      <c r="A35" s="3" t="s">
        <v>90</v>
      </c>
      <c r="B35" s="3" t="s">
        <v>15</v>
      </c>
      <c r="C35" s="30"/>
      <c r="D35" s="12">
        <v>720</v>
      </c>
      <c r="E35" s="14">
        <v>5</v>
      </c>
      <c r="F35" s="12">
        <f>D35*TRUNC(IF(ISBLANK($D$10),RemLifeTimDef,$D$10)/IF(ISBLANK(E35),ScrInspIntDef,E35))</f>
        <v>5760</v>
      </c>
      <c r="AP35">
        <v>720</v>
      </c>
      <c r="AV35">
        <f t="shared" si="1"/>
        <v>720</v>
      </c>
    </row>
    <row r="36" spans="1:48" x14ac:dyDescent="0.25">
      <c r="A36" s="3" t="s">
        <v>91</v>
      </c>
      <c r="B36" s="3" t="s">
        <v>19</v>
      </c>
      <c r="C36" s="30"/>
      <c r="D36" s="12">
        <v>300</v>
      </c>
      <c r="E36" s="14">
        <v>5</v>
      </c>
      <c r="F36" s="12">
        <f>D36*TRUNC(IF(ISBLANK($D$10),RemLifeTimDef,$D$10)/IF(ISBLANK(E36),ScrInspIntDef,E36))</f>
        <v>2400</v>
      </c>
      <c r="AP36">
        <v>300</v>
      </c>
      <c r="AV36">
        <f t="shared" si="1"/>
        <v>300</v>
      </c>
    </row>
    <row r="37" spans="1:48" x14ac:dyDescent="0.25">
      <c r="A37" s="3" t="s">
        <v>92</v>
      </c>
      <c r="B37" s="3" t="s">
        <v>20</v>
      </c>
      <c r="C37" s="30"/>
      <c r="D37" s="12">
        <v>3400</v>
      </c>
      <c r="E37" s="14">
        <v>5</v>
      </c>
      <c r="F37" s="12">
        <f>D37*TRUNC(IF(ISBLANK($D$10),RemLifeTimDef,$D$10)/IF(ISBLANK(E37),ScrInspIntDef,E37))</f>
        <v>27200</v>
      </c>
      <c r="AP37">
        <v>3400</v>
      </c>
      <c r="AV37">
        <f t="shared" si="1"/>
        <v>3400</v>
      </c>
    </row>
    <row r="38" spans="1:48" x14ac:dyDescent="0.25">
      <c r="A38" s="3" t="s">
        <v>93</v>
      </c>
      <c r="B38" s="3" t="s">
        <v>24</v>
      </c>
      <c r="C38" s="30"/>
      <c r="D38" s="12">
        <v>800</v>
      </c>
      <c r="E38" s="14">
        <v>5</v>
      </c>
      <c r="F38" s="12">
        <f>D38*TRUNC(IF(ISBLANK($D$10),RemLifeTimDef,$D$10)/IF(ISBLANK(E38),ScrInspIntDef,E38))</f>
        <v>6400</v>
      </c>
      <c r="AV38">
        <f>SUM(G38:AU38)</f>
        <v>0</v>
      </c>
    </row>
    <row r="39" spans="1:48" x14ac:dyDescent="0.25">
      <c r="A39" s="3" t="s">
        <v>343</v>
      </c>
      <c r="B39" s="3" t="s">
        <v>27</v>
      </c>
      <c r="C39" s="30"/>
      <c r="D39" s="4"/>
      <c r="E39" s="4"/>
      <c r="F39" s="4"/>
      <c r="AV39" s="1">
        <f>SUM(AV32:AV38)</f>
        <v>6220</v>
      </c>
    </row>
    <row r="40" spans="1:48" x14ac:dyDescent="0.25">
      <c r="A40" s="10" t="s">
        <v>87</v>
      </c>
      <c r="B40" s="10" t="s">
        <v>50</v>
      </c>
      <c r="C40" s="33"/>
      <c r="D40" s="11"/>
      <c r="E40" s="11"/>
      <c r="F40" s="13">
        <f>SUM(F32:F39)</f>
        <v>58760</v>
      </c>
      <c r="AV40" s="1"/>
    </row>
    <row r="41" spans="1:48" x14ac:dyDescent="0.25">
      <c r="A41" s="3"/>
      <c r="B41" s="3"/>
      <c r="C41" s="30"/>
      <c r="D41" s="4"/>
      <c r="E41" s="4"/>
      <c r="F41" s="4"/>
    </row>
    <row r="42" spans="1:48" ht="15.75" thickBot="1" x14ac:dyDescent="0.3">
      <c r="A42" s="18" t="s">
        <v>112</v>
      </c>
      <c r="B42" s="15" t="s">
        <v>31</v>
      </c>
      <c r="C42" s="32"/>
      <c r="D42" s="16"/>
      <c r="E42" s="16"/>
      <c r="F42" s="36">
        <f>ROW(F44)-ROW()</f>
        <v>2</v>
      </c>
    </row>
    <row r="43" spans="1:48" x14ac:dyDescent="0.25">
      <c r="A43" s="3" t="s">
        <v>316</v>
      </c>
      <c r="B43" s="3" t="s">
        <v>32</v>
      </c>
      <c r="C43" s="30"/>
      <c r="D43" s="366" t="s">
        <v>315</v>
      </c>
      <c r="E43" s="366"/>
      <c r="F43" s="366"/>
      <c r="AV43" s="1">
        <v>200000</v>
      </c>
    </row>
    <row r="44" spans="1:48" x14ac:dyDescent="0.25">
      <c r="A44" s="3" t="s">
        <v>34</v>
      </c>
      <c r="B44" s="3" t="s">
        <v>97</v>
      </c>
      <c r="C44" s="30"/>
      <c r="D44" s="4">
        <f>CHOOSE(D4,10^-5,10^-4,10^-3,10^-2,1)</f>
        <v>0.01</v>
      </c>
      <c r="E44" s="12">
        <f>10000000/20</f>
        <v>500000</v>
      </c>
      <c r="F44" s="28">
        <f>E44*D44*D10</f>
        <v>200000</v>
      </c>
    </row>
    <row r="45" spans="1:48" x14ac:dyDescent="0.25">
      <c r="A45" s="306" t="s">
        <v>317</v>
      </c>
      <c r="B45" s="3"/>
      <c r="C45" s="30"/>
      <c r="D45" s="4"/>
      <c r="E45" s="4"/>
      <c r="F45" s="4"/>
    </row>
    <row r="46" spans="1:48" x14ac:dyDescent="0.25">
      <c r="A46" s="3"/>
      <c r="B46" s="3"/>
      <c r="C46" s="30"/>
      <c r="D46" s="4"/>
      <c r="E46" s="4"/>
      <c r="F46" s="4"/>
    </row>
    <row r="47" spans="1:48" ht="15.75" thickBot="1" x14ac:dyDescent="0.3">
      <c r="A47" s="18" t="s">
        <v>125</v>
      </c>
      <c r="B47" s="15" t="s">
        <v>35</v>
      </c>
      <c r="C47" s="32"/>
      <c r="D47" s="17"/>
      <c r="E47" s="17"/>
      <c r="F47" s="36">
        <f>ROW(F56)-ROW()</f>
        <v>9</v>
      </c>
      <c r="AL47" t="s">
        <v>2</v>
      </c>
      <c r="AM47" t="s">
        <v>3</v>
      </c>
      <c r="AN47" t="s">
        <v>4</v>
      </c>
      <c r="AO47" t="s">
        <v>5</v>
      </c>
      <c r="AP47" t="s">
        <v>6</v>
      </c>
      <c r="AQ47" t="s">
        <v>7</v>
      </c>
      <c r="AR47" t="s">
        <v>8</v>
      </c>
      <c r="AS47" t="s">
        <v>9</v>
      </c>
      <c r="AT47" t="s">
        <v>10</v>
      </c>
      <c r="AU47" t="s">
        <v>11</v>
      </c>
    </row>
    <row r="48" spans="1:48" x14ac:dyDescent="0.25">
      <c r="A48" s="3" t="s">
        <v>94</v>
      </c>
      <c r="B48" s="3" t="s">
        <v>36</v>
      </c>
      <c r="C48" s="30"/>
      <c r="D48" s="12">
        <v>20000</v>
      </c>
      <c r="E48" s="14">
        <v>40</v>
      </c>
      <c r="F48" s="12">
        <f>D48*TRUNC(IF(ISBLANK($D$10),RemLifeTimDef,$D$10)/IF(ISBLANK(E48),RemLifeTimDef,E48))</f>
        <v>20000</v>
      </c>
      <c r="AV48">
        <f>SUM(G48:AU48)</f>
        <v>0</v>
      </c>
    </row>
    <row r="49" spans="1:48" x14ac:dyDescent="0.25">
      <c r="A49" s="3" t="s">
        <v>80</v>
      </c>
      <c r="B49" s="3" t="s">
        <v>23</v>
      </c>
      <c r="C49" s="30"/>
      <c r="D49" s="12">
        <v>300</v>
      </c>
      <c r="E49" s="14">
        <v>5</v>
      </c>
      <c r="F49" s="12">
        <f>D49*TRUNC(IF(ISBLANK($D$10),RemLifeTimDef,$D$10)/IF(ISBLANK(E49),ScrInspIntDef,E49))</f>
        <v>2400</v>
      </c>
      <c r="AV49">
        <f t="shared" ref="AV49:AV54" si="2">SUM(G49:AU49)</f>
        <v>0</v>
      </c>
    </row>
    <row r="50" spans="1:48" x14ac:dyDescent="0.25">
      <c r="A50" s="3" t="s">
        <v>95</v>
      </c>
      <c r="B50" s="3" t="s">
        <v>16</v>
      </c>
      <c r="C50" s="30"/>
      <c r="D50" s="12">
        <v>720</v>
      </c>
      <c r="E50" s="14">
        <v>10</v>
      </c>
      <c r="F50" s="12">
        <f t="shared" ref="F50:F53" si="3">D50*TRUNC($D$10/E50)</f>
        <v>2880</v>
      </c>
      <c r="AV50">
        <f t="shared" si="2"/>
        <v>0</v>
      </c>
    </row>
    <row r="51" spans="1:48" x14ac:dyDescent="0.25">
      <c r="A51" s="3" t="s">
        <v>96</v>
      </c>
      <c r="B51" s="3" t="s">
        <v>17</v>
      </c>
      <c r="C51" s="30"/>
      <c r="D51" s="12">
        <v>300</v>
      </c>
      <c r="E51" s="14">
        <v>10</v>
      </c>
      <c r="F51" s="12">
        <f t="shared" si="3"/>
        <v>1200</v>
      </c>
      <c r="AV51">
        <f t="shared" si="2"/>
        <v>0</v>
      </c>
    </row>
    <row r="52" spans="1:48" ht="16.5" x14ac:dyDescent="0.3">
      <c r="A52" s="3" t="s">
        <v>83</v>
      </c>
      <c r="B52" s="3" t="s">
        <v>18</v>
      </c>
      <c r="C52" s="30"/>
      <c r="D52" s="12">
        <v>18000</v>
      </c>
      <c r="E52" s="14">
        <v>40</v>
      </c>
      <c r="F52" s="12">
        <f>D52*TRUNC(IF(ISBLANK($D$10),RemLifeTimDef,$D$10)/IF(ISBLANK(E52),RemLifeTimDef,E52))</f>
        <v>18000</v>
      </c>
      <c r="AV52">
        <f t="shared" si="2"/>
        <v>0</v>
      </c>
    </row>
    <row r="53" spans="1:48" x14ac:dyDescent="0.25">
      <c r="A53" s="3" t="s">
        <v>92</v>
      </c>
      <c r="B53" s="3" t="s">
        <v>20</v>
      </c>
      <c r="C53" s="30"/>
      <c r="D53" s="12">
        <v>3400</v>
      </c>
      <c r="E53" s="14">
        <v>10</v>
      </c>
      <c r="F53" s="12">
        <f t="shared" si="3"/>
        <v>13600</v>
      </c>
      <c r="AV53">
        <f t="shared" si="2"/>
        <v>0</v>
      </c>
    </row>
    <row r="54" spans="1:48" x14ac:dyDescent="0.25">
      <c r="A54" s="3" t="s">
        <v>85</v>
      </c>
      <c r="B54" s="3" t="s">
        <v>21</v>
      </c>
      <c r="C54" s="30"/>
      <c r="D54" s="12">
        <v>1500</v>
      </c>
      <c r="E54" s="14">
        <v>40</v>
      </c>
      <c r="F54" s="12">
        <f>D54*TRUNC(IF(ISBLANK($D$10),RemLifeTimDef,$D$10)/IF(ISBLANK(E54),RemLifeTimDef,E54))</f>
        <v>1500</v>
      </c>
      <c r="AV54">
        <f t="shared" si="2"/>
        <v>0</v>
      </c>
    </row>
    <row r="55" spans="1:48" x14ac:dyDescent="0.25">
      <c r="A55" s="3" t="s">
        <v>344</v>
      </c>
      <c r="B55" s="3" t="s">
        <v>28</v>
      </c>
      <c r="C55" s="30"/>
      <c r="D55" s="4"/>
      <c r="E55" s="4"/>
      <c r="F55" s="4"/>
      <c r="AV55" s="1">
        <f>SUM(AV48:AV54)</f>
        <v>0</v>
      </c>
    </row>
    <row r="56" spans="1:48" x14ac:dyDescent="0.25">
      <c r="A56" s="10" t="s">
        <v>87</v>
      </c>
      <c r="B56" s="10" t="s">
        <v>50</v>
      </c>
      <c r="C56" s="33"/>
      <c r="D56" s="11"/>
      <c r="E56" s="11"/>
      <c r="F56" s="13">
        <f>SUM(F48:F55)</f>
        <v>59580</v>
      </c>
    </row>
    <row r="57" spans="1:48" x14ac:dyDescent="0.25"/>
    <row r="58" spans="1:48" ht="15.75" thickBot="1" x14ac:dyDescent="0.3">
      <c r="A58" s="18" t="s">
        <v>307</v>
      </c>
      <c r="B58" s="15" t="s">
        <v>35</v>
      </c>
      <c r="C58" s="32"/>
      <c r="D58" s="17"/>
      <c r="E58" s="17"/>
      <c r="F58" s="36">
        <f>ROW(F81)-ROW()</f>
        <v>23</v>
      </c>
    </row>
    <row r="59" spans="1:48" x14ac:dyDescent="0.25">
      <c r="A59" s="3" t="s">
        <v>88</v>
      </c>
      <c r="B59" s="3" t="s">
        <v>23</v>
      </c>
      <c r="C59" s="30"/>
      <c r="D59" s="12">
        <v>300</v>
      </c>
      <c r="E59" s="14">
        <v>5</v>
      </c>
      <c r="F59" s="12">
        <f>D59*TRUNC(IF(ISBLANK($D$10),RemLifeTimDef,$D$10)/IF(ISBLANK(E59),ScrInspIntDef,E59))</f>
        <v>2400</v>
      </c>
    </row>
    <row r="60" spans="1:48" x14ac:dyDescent="0.25">
      <c r="A60" s="273" t="s">
        <v>357</v>
      </c>
      <c r="B60" s="273"/>
      <c r="C60" s="274"/>
      <c r="D60" s="275"/>
      <c r="E60" s="276" t="s">
        <v>358</v>
      </c>
      <c r="F60" s="292" t="s">
        <v>306</v>
      </c>
    </row>
    <row r="61" spans="1:48" x14ac:dyDescent="0.25">
      <c r="A61" s="3" t="s">
        <v>333</v>
      </c>
      <c r="B61" s="3" t="s">
        <v>26</v>
      </c>
      <c r="C61" s="30"/>
      <c r="D61" s="12">
        <f>INDEX(NDT_Kosten,MATCH(A61,NDT_Technieken,0))</f>
        <v>300</v>
      </c>
      <c r="E61" s="14" t="str">
        <f>IF(D61=0,"Geen info","OK")</f>
        <v>OK</v>
      </c>
      <c r="F61" s="286"/>
      <c r="G61" s="356" t="s">
        <v>309</v>
      </c>
    </row>
    <row r="62" spans="1:48" ht="15.75" x14ac:dyDescent="0.3">
      <c r="A62" s="287" t="s">
        <v>290</v>
      </c>
      <c r="B62" s="271"/>
      <c r="C62" s="271"/>
      <c r="D62" s="288" t="s">
        <v>292</v>
      </c>
      <c r="E62" s="285"/>
      <c r="F62" s="286"/>
      <c r="G62" s="357"/>
    </row>
    <row r="63" spans="1:48" ht="15.75" x14ac:dyDescent="0.3">
      <c r="A63" s="289" t="s">
        <v>295</v>
      </c>
      <c r="B63" s="270"/>
      <c r="C63" s="270"/>
      <c r="D63" s="288" t="s">
        <v>291</v>
      </c>
      <c r="E63" s="285"/>
      <c r="F63" s="286"/>
      <c r="G63" s="357"/>
    </row>
    <row r="64" spans="1:48" x14ac:dyDescent="0.25">
      <c r="A64" s="3" t="s">
        <v>367</v>
      </c>
      <c r="B64" s="3" t="s">
        <v>19</v>
      </c>
      <c r="C64" s="30"/>
      <c r="D64" s="272">
        <v>1</v>
      </c>
      <c r="E64" s="14">
        <v>5</v>
      </c>
      <c r="F64" s="12">
        <f>D61*D64*TRUNC(IF(ISBLANK($D$10),RemLifeTimDef,$D$10)/IF(ISBLANK(E64),ScrInspIntDef,E64))</f>
        <v>2400</v>
      </c>
      <c r="G64" s="357"/>
    </row>
    <row r="65" spans="1:7" x14ac:dyDescent="0.25">
      <c r="A65" s="3" t="s">
        <v>93</v>
      </c>
      <c r="B65" s="3" t="s">
        <v>24</v>
      </c>
      <c r="C65" s="30"/>
      <c r="D65" s="12">
        <v>800</v>
      </c>
      <c r="E65" s="14">
        <v>5</v>
      </c>
      <c r="F65" s="12">
        <f>D65*TRUNC(IF(ISBLANK($D$10),RemLifeTimDef,$D$10)/IF(ISBLANK(E65),ScrInspIntDef,E65))</f>
        <v>6400</v>
      </c>
      <c r="G65" s="358"/>
    </row>
    <row r="66" spans="1:7" x14ac:dyDescent="0.25">
      <c r="A66" s="273" t="s">
        <v>359</v>
      </c>
      <c r="B66" s="273"/>
      <c r="C66" s="274"/>
      <c r="D66" s="275"/>
      <c r="E66" s="276" t="s">
        <v>358</v>
      </c>
      <c r="F66" s="292" t="s">
        <v>306</v>
      </c>
    </row>
    <row r="67" spans="1:7" x14ac:dyDescent="0.25">
      <c r="A67" s="3" t="s">
        <v>304</v>
      </c>
      <c r="B67" s="3"/>
      <c r="C67" s="30"/>
      <c r="D67" s="364" t="s">
        <v>328</v>
      </c>
      <c r="E67" s="365"/>
      <c r="F67" s="365"/>
      <c r="G67" s="356" t="s">
        <v>310</v>
      </c>
    </row>
    <row r="68" spans="1:7" ht="18" x14ac:dyDescent="0.35">
      <c r="A68" s="3" t="s">
        <v>305</v>
      </c>
      <c r="B68" s="3"/>
      <c r="C68" s="30"/>
      <c r="D68" s="290">
        <f>IFERROR(1-INDEX(NDTEff,FIND(INDEX(NDTEffRatings,MATCH(D67,Typicals,0),MATCH(A61,NDT_Technieken,0)),"ABCDE"),2),"?")</f>
        <v>1.0000000000000009E-2</v>
      </c>
      <c r="E68" s="285"/>
      <c r="F68" s="286"/>
      <c r="G68" s="357"/>
    </row>
    <row r="69" spans="1:7" x14ac:dyDescent="0.25">
      <c r="A69" s="3" t="s">
        <v>320</v>
      </c>
      <c r="B69" s="3"/>
      <c r="C69" s="30"/>
      <c r="D69" s="290"/>
      <c r="E69" s="14"/>
      <c r="F69" s="291">
        <f>IFERROR(IF(F66&lt;&gt;"Nee",D68*F44,""),"?")</f>
        <v>2000.0000000000018</v>
      </c>
      <c r="G69" s="358"/>
    </row>
    <row r="70" spans="1:7" x14ac:dyDescent="0.25">
      <c r="A70" s="273" t="s">
        <v>360</v>
      </c>
      <c r="B70" s="273"/>
      <c r="C70" s="274"/>
      <c r="D70" s="275"/>
      <c r="E70" s="276" t="s">
        <v>358</v>
      </c>
      <c r="F70" s="292" t="s">
        <v>306</v>
      </c>
    </row>
    <row r="71" spans="1:7" ht="15" customHeight="1" x14ac:dyDescent="0.25">
      <c r="A71" s="3" t="s">
        <v>297</v>
      </c>
      <c r="B71" s="3" t="s">
        <v>20</v>
      </c>
      <c r="C71" s="30"/>
      <c r="D71" s="277">
        <v>30</v>
      </c>
      <c r="E71" s="285"/>
      <c r="F71" s="286"/>
      <c r="G71" s="356" t="s">
        <v>308</v>
      </c>
    </row>
    <row r="72" spans="1:7" x14ac:dyDescent="0.25">
      <c r="A72" s="3" t="s">
        <v>312</v>
      </c>
      <c r="B72" s="3" t="s">
        <v>20</v>
      </c>
      <c r="C72" s="88"/>
      <c r="D72" s="277">
        <v>16</v>
      </c>
      <c r="E72" s="285"/>
      <c r="F72" s="286"/>
      <c r="G72" s="359"/>
    </row>
    <row r="73" spans="1:7" x14ac:dyDescent="0.25">
      <c r="A73" s="3" t="s">
        <v>298</v>
      </c>
      <c r="B73" s="3"/>
      <c r="C73" s="30"/>
      <c r="D73" s="277">
        <v>2</v>
      </c>
      <c r="E73" s="285"/>
      <c r="F73" s="286"/>
      <c r="G73" s="359"/>
    </row>
    <row r="74" spans="1:7" x14ac:dyDescent="0.25">
      <c r="A74" s="3" t="s">
        <v>296</v>
      </c>
      <c r="B74" s="3"/>
      <c r="C74" s="30"/>
      <c r="D74" s="278">
        <v>2</v>
      </c>
      <c r="E74" s="309" t="s">
        <v>319</v>
      </c>
      <c r="F74" s="286"/>
      <c r="G74" s="359"/>
    </row>
    <row r="75" spans="1:7" x14ac:dyDescent="0.25">
      <c r="A75" s="3" t="s">
        <v>300</v>
      </c>
      <c r="B75" s="3"/>
      <c r="C75" s="30"/>
      <c r="D75" s="12">
        <f ca="1">IFERROR('Input and Output'!J10,"Opp buiten ref.")</f>
        <v>16125.331159295052</v>
      </c>
      <c r="E75" s="14">
        <v>5</v>
      </c>
      <c r="F75" s="12">
        <f ca="1">D75*TRUNC(IF(ISBLANK($D$10),RemLifeTimDef,$D$10)/IF(ISBLANK(E75),ScrInspIntDef,E75))</f>
        <v>129002.64927436042</v>
      </c>
      <c r="G75" s="360"/>
    </row>
    <row r="76" spans="1:7" x14ac:dyDescent="0.25">
      <c r="A76" s="273" t="s">
        <v>361</v>
      </c>
      <c r="B76" s="273"/>
      <c r="C76" s="274"/>
      <c r="D76" s="275"/>
      <c r="E76" s="276" t="s">
        <v>358</v>
      </c>
      <c r="F76" s="293" t="s">
        <v>306</v>
      </c>
    </row>
    <row r="77" spans="1:7" x14ac:dyDescent="0.25">
      <c r="A77" s="3" t="s">
        <v>299</v>
      </c>
      <c r="B77" s="3"/>
      <c r="C77" s="30"/>
      <c r="D77" s="12" t="s">
        <v>301</v>
      </c>
      <c r="E77" s="285"/>
      <c r="F77" s="286"/>
      <c r="G77" s="356" t="s">
        <v>311</v>
      </c>
    </row>
    <row r="78" spans="1:7" x14ac:dyDescent="0.25">
      <c r="A78" s="3" t="s">
        <v>302</v>
      </c>
      <c r="B78" s="3"/>
      <c r="C78" s="30"/>
      <c r="D78" s="284">
        <v>550</v>
      </c>
      <c r="E78" s="285"/>
      <c r="F78" s="286"/>
      <c r="G78" s="357"/>
    </row>
    <row r="79" spans="1:7" x14ac:dyDescent="0.25">
      <c r="A79" s="3" t="s">
        <v>303</v>
      </c>
      <c r="B79" s="3"/>
      <c r="C79" s="30"/>
      <c r="D79" s="284">
        <v>40</v>
      </c>
      <c r="E79" s="309" t="s">
        <v>318</v>
      </c>
      <c r="F79" s="286"/>
      <c r="G79" s="357"/>
    </row>
    <row r="80" spans="1:7" x14ac:dyDescent="0.25">
      <c r="A80" s="3" t="s">
        <v>300</v>
      </c>
      <c r="B80" s="3"/>
      <c r="C80" s="30"/>
      <c r="D80" s="12">
        <f ca="1">(100/5)*CHOOSE(FIND(LEFT(D77,1),"KW"),ColdIsolCosts,HotIsolCosts)</f>
        <v>16053.520079892067</v>
      </c>
      <c r="E80" s="14">
        <v>20</v>
      </c>
      <c r="F80" s="12">
        <f ca="1">D80*TRUNC(IF(ISBLANK($D$10),RemLifeTimDef,$D$10)/IF(ISBLANK(E80),RemLifeTimDef,E80))</f>
        <v>32107.040159784134</v>
      </c>
      <c r="G80" s="358"/>
    </row>
    <row r="81" spans="1:6" x14ac:dyDescent="0.25">
      <c r="A81" s="10" t="s">
        <v>324</v>
      </c>
      <c r="B81" s="10" t="s">
        <v>50</v>
      </c>
      <c r="C81" s="33"/>
      <c r="D81" s="11"/>
      <c r="E81" s="11"/>
      <c r="F81" s="294">
        <f ca="1">SUM(F59,IF(F60&lt;&gt;"Nee",SUM(F61:F65),),IF(F66&lt;&gt;"Nee",SUM(F68:F69),),IF(F70&lt;&gt;"Nee",F71:F75,),IF(F76&lt;&gt;"Nee",SUM(F77:F80),))</f>
        <v>174309.68943414456</v>
      </c>
    </row>
    <row r="82" spans="1:6" x14ac:dyDescent="0.25">
      <c r="D82">
        <f>FIND(INDEX(NDTEffRatings,MATCH(D67,Typicals,0),MATCH(A61,NDT_Technieken,0)),"ABCDE")</f>
        <v>1</v>
      </c>
    </row>
    <row r="83" spans="1:6" hidden="1" x14ac:dyDescent="0.25"/>
    <row r="84" spans="1:6" hidden="1" x14ac:dyDescent="0.25"/>
    <row r="85" spans="1:6" hidden="1" x14ac:dyDescent="0.25"/>
    <row r="86" spans="1:6" hidden="1" x14ac:dyDescent="0.25"/>
    <row r="87" spans="1:6" x14ac:dyDescent="0.25"/>
  </sheetData>
  <mergeCells count="8">
    <mergeCell ref="G61:G65"/>
    <mergeCell ref="G77:G80"/>
    <mergeCell ref="G71:G75"/>
    <mergeCell ref="E4:F5"/>
    <mergeCell ref="A16:B16"/>
    <mergeCell ref="D67:F67"/>
    <mergeCell ref="G67:G69"/>
    <mergeCell ref="D43:F43"/>
  </mergeCells>
  <conditionalFormatting sqref="F76 F70 F66 F60">
    <cfRule type="cellIs" dxfId="18" priority="4" operator="equal">
      <formula>"Nee"</formula>
    </cfRule>
  </conditionalFormatting>
  <conditionalFormatting sqref="E61">
    <cfRule type="cellIs" dxfId="17" priority="3" operator="notEqual">
      <formula>"OK"</formula>
    </cfRule>
  </conditionalFormatting>
  <conditionalFormatting sqref="D72:D73 D75">
    <cfRule type="expression" dxfId="16" priority="2">
      <formula>IF($D$72*$D$73&gt;36,1,0)</formula>
    </cfRule>
  </conditionalFormatting>
  <conditionalFormatting sqref="D68 F69">
    <cfRule type="cellIs" dxfId="15" priority="1" operator="equal">
      <formula>"?"</formula>
    </cfRule>
  </conditionalFormatting>
  <dataValidations xWindow="595" yWindow="296" count="48">
    <dataValidation type="custom" showInputMessage="1" showErrorMessage="1" errorTitle="Data afgeschermd." error="Deze gegevens zijn afgeschermd om incidentele wijziging van de formule te voorkomen." sqref="F59">
      <formula1>0</formula1>
    </dataValidation>
    <dataValidation allowBlank="1" showInputMessage="1" showErrorMessage="1" promptTitle="Plaats van het totaal aan kosten" prompt="Dit getal is nodig in de scenario berekening (tabblad [Scenario's])._x000a_NIET WIJZIGEN!" sqref="F58 F31 F42 F47"/>
    <dataValidation type="custom" showInputMessage="1" showErrorMessage="1" errorTitle="Nota bene:" error="Deze cel is afgeschermd tegen wijziging, omdat het vaste gegevens bevat die in de berekening zijn verwerkt." promptTitle="Lengte / length" prompt="De lengte van het pijpleiding systeem wat in de berekening hieronder als uitgangspunt is gebruikt. Kosten voor andere lengtes volgen naar rato._x000a__x000a_The lengt of the pipeline system which is used in the calculations. Costs for other lenghts by ratio." sqref="D8">
      <formula1>0</formula1>
    </dataValidation>
    <dataValidation allowBlank="1" showInputMessage="1" showErrorMessage="1" promptTitle="Remaining Years of Use." prompt="Het aantal jaren gedurende welke, naar verwachting, nog gebruik gemaakt zal worden van de installatie- vanaf vandaag._x000a__x000a_The number of years during which, according to expectations, the installation will still be use as per today." sqref="D10"/>
    <dataValidation type="list" allowBlank="1" showInputMessage="1" showErrorMessage="1" promptTitle="Toegepaste techniek:" prompt="De toe te passen techniek, vanuit het aanwezige overzicht van toepasbare technieken." sqref="A61">
      <formula1>NDT_Technieken</formula1>
    </dataValidation>
    <dataValidation type="list" allowBlank="1" showInputMessage="1" showErrorMessage="1" promptTitle="Bereikbaarheid:" prompt="Het gemak waarmee de techniek op de betreffende plaats toegepast kan worden._x000a_Er worden drie niveau's onderkend: Laag / Midden / Hoog._x000a_Dit heeft met name betrekking op de kosten; NIET zozeer op de effectiviteit." sqref="B63:D63">
      <formula1>"Laag,Midden,Hoog"</formula1>
    </dataValidation>
    <dataValidation type="list" allowBlank="1" showInputMessage="1" showErrorMessage="1" promptTitle="Gevoeligheid:" prompt="De mate waarmee veranderingen in het onderzochte object in beeld gebracht kunnen worden._x000a_Er worden drie niveau's onderkend: Laag / Midden / Hoog" sqref="B62:D62">
      <formula1>"Laag,Midden,Hoog"</formula1>
    </dataValidation>
    <dataValidation showInputMessage="1" showErrorMessage="1" errorTitle="Data afgeschermd!" error="Deze gegevens zijn afgeschermd om incidentele wijziging van de formule te voorkomen." promptTitle="Gevolgen van falen;" prompt="Het restant aan &quot;gevolgen van falen&quot; wat bij dit scenario nog aanwezig is._x000a_Verondersteld wordt dat aangetroffen schade wordt hersteld als onderdeel van het beheersprogramma." sqref="F69"/>
    <dataValidation type="list" allowBlank="1" showInputMessage="1" showErrorMessage="1" promptTitle="Type isolatie:" prompt="Er is voorzien in twee opties:_x000a_Warmte isolatie_x000a_Koude isolatie (gekoelde leidingsystemen)" sqref="D77">
      <formula1>"Warmte isolatie,Koude isolatie"</formula1>
    </dataValidation>
    <dataValidation type="custom" showInputMessage="1" showErrorMessage="1" errorTitle="Data afgeschermd!" error="Deze gegevens zijn afgeschermd om incidentele wijziging van de cel te voorkomen." promptTitle="Gevoeligheid:" prompt="De mate waarmee veranderingen in het onderzochte object in beeld gebracht kunnen worden._x000a_Er worden drie niveau's onderkend: Laag / Midden / Hoog" sqref="A62">
      <formula1>0</formula1>
    </dataValidation>
    <dataValidation type="custom" showInputMessage="1" showErrorMessage="1" errorTitle="Data afgeschermd!" error="Deze gegevens zijn afgeschermd om incidentele wijziging van de cel te voorkomen." promptTitle="Bereikbaarheid:" prompt="Het gemak waarmee de techniek op de betreffende plaats toegepast kan worden._x000a_Er worden drie niveau's onderkend: Laag / Midden / Hoog._x000a_Dit heeft met name betrekking op de kosten; NIET zozeer op de effectiviteit." sqref="A63">
      <formula1>0</formula1>
    </dataValidation>
    <dataValidation type="list" allowBlank="1" showInputMessage="1" showErrorMessage="1" promptTitle="Scenario Storing en reparatie." prompt="Ja = Neem effect op dat scenario mee als besparing van kosten._x000a_Nee = Neem dat effect NIET mee." sqref="D69">
      <formula1>"Ja,Nee"</formula1>
    </dataValidation>
    <dataValidation type="list" allowBlank="1" showInputMessage="1" showErrorMessage="1" errorTitle="Data afgeschermd." error="Deze gegevens zijn afgeschermd om incidentele wijziging van de formule te voorkomen." promptTitle="Onderdeel toepassen:" prompt="Markeer &quot;Nee&quot; als het onderdeel NIET van toepassing is._x000a_Géén markering of &quot;Ja&quot; betekent dat het onderdeel wordt meegenomen." sqref="F60 F76 F70">
      <formula1>"Ja,Nee"</formula1>
    </dataValidation>
    <dataValidation type="list" allowBlank="1" showInputMessage="1" showErrorMessage="1" errorTitle="Data afgeschermd." error="Deze gegevens zijn afgeschermd om incidentele wijziging van de formule te voorkomen." promptTitle="Onderdeel toepassen:" prompt="Markeer &quot;Nee&quot; als het onderdeel NIET van toepassing is._x000a_Géén markering of &quot;Ja&quot; betekent dat het onderdeel wordt meegenomen." sqref="F66">
      <formula1>"Ja,Nee,"</formula1>
    </dataValidation>
    <dataValidation type="custom" showInputMessage="1" showErrorMessage="1" errorTitle="Data afgeschermd!" error="Deze gegevens zijn afgeschermd om incidentele wijziging van de formule te voorkomen." sqref="B81:E81 E8:E10 F80 D44 B60:D60 F75 F32:F40 F48:F56 D61:E61 F64:F65 B76:D76">
      <formula1>0</formula1>
    </dataValidation>
    <dataValidation type="custom" showInputMessage="1" showErrorMessage="1" errorTitle="Data afgeschermd!" error="Deze gegevens zijn afgeschermd om incidentele wijziging van de formule te voorkomen." promptTitle="Toelichting:" prompt="Op deze plaats wordt het scenario [Storing en reparatie] hergebruikt._x000a_De keuze om dit al dan niet toe te passen kan helemaal rechts worden gemaakt." sqref="B66:D66">
      <formula1>0</formula1>
    </dataValidation>
    <dataValidation type="custom" showInputMessage="1" showErrorMessage="1" errorTitle="Data afgeschermd." error="Deze gegevens zijn afgeschermd om incidentele wijziging van de cel te voorkomen." sqref="E62:F63 E68:F68 F61 E71:F74 E77:F79">
      <formula1>0</formula1>
    </dataValidation>
    <dataValidation allowBlank="1" showInputMessage="1" showErrorMessage="1" promptTitle="Faalkosten per 100 meter lengte." prompt="Faalkosten per 100 meter leidinglengte._x000a_Indien één faalsituatie optreedt met bepaalde kosten voor een systeem met lengte X, zijn die kosten te normaliseren naar rate van 100 meter lengte." sqref="E44"/>
    <dataValidation type="custom" showInputMessage="1" showErrorMessage="1" errorTitle="Data afgeschermd!" error="Deze cel is afgeschermd om de formule te beschermen tegen onbedoelde wijzigingen." sqref="D75">
      <formula1>0</formula1>
    </dataValidation>
    <dataValidation type="custom" showInputMessage="1" showErrorMessage="1" errorTitle="Gegevens afgeschermd!" error="Deze gegevens zijn afgeschermd om incidentele wijziging van de cel te voorkomen." sqref="A71:A75 B70:D70">
      <formula1>0</formula1>
    </dataValidation>
    <dataValidation type="custom" showInputMessage="1" showErrorMessage="1" errorTitle="Data afgeschermd!" error="Deze gegevens zijn afgeschermd om incidentele wijziging van de cel te voorkomen." sqref="A67:A68 A65 A64">
      <formula1>0</formula1>
    </dataValidation>
    <dataValidation type="list" allowBlank="1" showInputMessage="1" showErrorMessage="1" errorTitle="Kans categorie:" error="Afwijkende waarden in de kans categorie leiden tot inconsistenties in de methodiek en zijn daarom niet toegestaan." promptTitle="Waarschijnlijkheids categorie:" prompt="De waarschijnlijkheidscategorie zoals die van toepassing is vanuit de risicobeoordeling." sqref="D4">
      <formula1>"1,2,3,4,5"</formula1>
    </dataValidation>
    <dataValidation type="list" allowBlank="1" showInputMessage="1" showErrorMessage="1" errorTitle="Gevolg categorie:" error="Afwijkende waarden in de gevolg categorie leiden tot inconsistenties in de methodiek en zijn daarom niet toegestaan." promptTitle="Gevolg categorie:" prompt="De categorie voor effecten van falen, zoals die van toepassing is vanuit de risicobeoordeling. Dit varieert van A t/m E, waarbij de eerste, A, categorie 1 is en de laatste, E, categorie 5." sqref="D5">
      <formula1>"1,2,3,4,5"</formula1>
    </dataValidation>
    <dataValidation type="custom" showInputMessage="1" showErrorMessage="1" errorTitle="Data afgechermd!" error="Deze gegevens zijn afgeschermd om incidentele wijziging van de formule te voorkomen." promptTitle="Schade gevolgen:" prompt="De gekapitaliseerde schade gevolgen, zoals van toepassing volgens NEN-EN 16991. Categorie 5 is &quot;groter dan 10 Mio&quot; en is in dit spreadsheet in lijn met de stapgrootte in de andere categorieën, gesteld op Max. 100 Mio €." sqref="D6">
      <formula1>0</formula1>
    </dataValidation>
    <dataValidation allowBlank="1" showInputMessage="1" showErrorMessage="1" promptTitle="Herhaling:" prompt="De termijn waarmee herhaling van de aktie wordt voorzien._x000a_Wanneer niets wordt ingevuld worden in de berekeningen de standaard termijnen gehanteerd zoals die boven aan dit spreadsheet staan." sqref="E75"/>
    <dataValidation allowBlank="1" showInputMessage="1" showErrorMessage="1" promptTitle="Herhaling vervanging:" prompt="De termijn waarmee herhaling van de aktie om de isolatie te vernieuwen, wordt voorzien._x000a_Wanneer niets wordt ingevuld worden in de berekeningen de standaard termijnen gehanteerd zoals die boven aan dit spreadsheet staan." sqref="E80"/>
    <dataValidation allowBlank="1" showInputMessage="1" showErrorMessage="1" promptTitle="Steiger lengte:" prompt="De lengte van de steiger zoals die van toepassing is op de leiding. Factoren als delen waar géén steiger voor nodig zijn en delen die deels bekeken worden, zijn hier in verwerkt._x000a__x000a_N.b.: het TNO kostenmodel voorziet in steiger afmetingen van max. 36 m²." sqref="D72"/>
    <dataValidation showInputMessage="1" showErrorMessage="1" errorTitle="Data afgeschermd!" error="Deze gegevens zijn afgeschermd om incidentele wijziging van de cel te voorkomen." sqref="A69"/>
    <dataValidation type="custom" showInputMessage="1" showErrorMessage="1" errorTitle="Data afgeschermd!" error="Deze gegevens zijn afgeschermd om incidentele wijziging van de formule te voorkomen." promptTitle="Blok faalgevolg(risico) reductie" prompt="Op deze plaats wordt het scenario [Storing en reparatie] hergebruikt om de aanwezigheid van dit risico mee te nemen._x000a_De keuze om dit al dan niet toe te passen kan helemaal rechts worden gemaakt." sqref="A66">
      <formula1>0</formula1>
    </dataValidation>
    <dataValidation type="custom" showInputMessage="1" showErrorMessage="1" errorTitle="Gegevens afgeschermd!" error="Deze gegevens zijn afgeschermd om incidentele wijziging van de cel te voorkomen." promptTitle="Blok benodigd steiger materiaal" prompt="In dit blok kan de optie voor toe te passen steigermateriaal worden toegepast - of juist uitgeschakeld." sqref="A70">
      <formula1>0</formula1>
    </dataValidation>
    <dataValidation type="custom" showInputMessage="1" showErrorMessage="1" errorTitle="Data afgeschermd!" error="Deze gegevens zijn afgeschermd om incidentele wijziging van de formule te voorkomen." promptTitle="Blok Nieuw isolatiemateriaal." prompt="In dit blok kan de optie om Nieuw Isolatiemateriaal toe te passen, worden toegevoegd - of juist uitgeschakeld." sqref="A76">
      <formula1>0</formula1>
    </dataValidation>
    <dataValidation type="custom" showInputMessage="1" showErrorMessage="1" errorTitle="Data afgeschermd!" error="Deze gegevens zijn afgeschermd om incidentele wijziging van de formule te voorkomen." sqref="A81">
      <formula1>0</formula1>
    </dataValidation>
    <dataValidation allowBlank="1" showInputMessage="1" showErrorMessage="1" promptTitle="Steiger breedte:" prompt="De breedte van de steiger zoals die van toepassing is op de leiding. _x000a__x000a_N.b.: het TNO kostenmodel voorziet in steiger afmetingen van max. 36 m²." sqref="D73"/>
    <dataValidation allowBlank="1" showInputMessage="1" showErrorMessage="1" promptTitle="Steiger hoogte:" prompt="De hoogte van de steiger zoals die van toepassing is op de leiding._x000a_Het TNO kostenmodel voorziet in maximaal 30 meter hoogte van de steiger." sqref="D71"/>
    <dataValidation type="custom" showInputMessage="1" showErrorMessage="1" errorTitle="Data afgeschermd!" error="Deze gegevens zijn afgeschermd om incidentele wijziging van de formule te voorkomen." sqref="D68">
      <formula1>0</formula1>
    </dataValidation>
    <dataValidation type="custom" showInputMessage="1" showErrorMessage="1" errorTitle="Nota bene:" error="Dit veld is afgeschermd tegen wijzigingen, teneinde onbedoelde veranderingen te voorkomen." sqref="D82">
      <formula1>0</formula1>
    </dataValidation>
    <dataValidation type="custom" showInputMessage="1" showErrorMessage="1" errorTitle="Nota bene:" error="De inhoud van deze cel is beschermd tegen wijzigen om de gehanteerde formules intact te houden." promptTitle="Plaats van het totaal aan kosten" prompt="Dit getal is nodig in de scenario berekening (tabblad [Scenario's])._x000a_NIET WIJZIGEN!" sqref="F17">
      <formula1>0</formula1>
    </dataValidation>
    <dataValidation type="custom" showInputMessage="1" showErrorMessage="1" errorTitle="Nota bene!" error="De inhoud van deze cel is beschermd tegen wijzigen om de gehanteerde formules intact te houden." sqref="F18:F28">
      <formula1>0</formula1>
    </dataValidation>
    <dataValidation allowBlank="1" showInputMessage="1" showErrorMessage="1" errorTitle="Data afgeschermd!" error="Deze gegevens zijn afgeschermd om incidentele wijziging van de formule te voorkomen." sqref="F44:F45"/>
    <dataValidation type="custom" showInputMessage="1" showErrorMessage="1" errorTitle="Data afgeschermd!" error="Deze gegevens zijn afgeschermd om incidentele wijziging van de formule te voorkomen." promptTitle="Isolatie kosten:" prompt="De kosten van het aanbrengen van nieuw isolatie._x000a_De informatie hiervoor komt uit het tabblad [Source INSU 2002]." sqref="D80">
      <formula1>0</formula1>
    </dataValidation>
    <dataValidation allowBlank="1" showInputMessage="1" showErrorMessage="1" promptTitle="Huidig risico niveau:" prompt="Dit zijn de invoedsfactoren die bepalen in welke mate er een noodzaak is om onderhoud te plannen." sqref="A3"/>
    <dataValidation type="custom" showInputMessage="1" showErrorMessage="1" errorTitle="Data afgeschermd!" error="Deze gegevens zijn afgeschermd om incidentele wijziging van de formule te voorkomen." promptTitle="Blok  toe te passen NDT techniek" prompt="In dit blok kan de optie voor een toe te passen Niet Destructieve Onderzoekstechniek worden toegepast - of juist uitgeschakeld." sqref="A60">
      <formula1>0</formula1>
    </dataValidation>
    <dataValidation type="custom" showInputMessage="1" showErrorMessage="1" errorTitle="Data afgeschermd!" error="Deze gegevens zijn afgeschermd om incidentele wijziging van de formule te voorkomen." promptTitle="Blok NDT techniek toepassen:" prompt="Geef hier aan of dit gedeelte, waarin de kosten van een toe te passen Niet Destructieve Onderzoekstechniek bepaald worden, van toepassing is bij dit onderhoudsscenario." sqref="E60">
      <formula1>0</formula1>
    </dataValidation>
    <dataValidation type="custom" showInputMessage="1" showErrorMessage="1" errorTitle="Data afgeschermd!" error="Deze gegevens zijn afgeschermd om incidentele wijziging van de formule te voorkomen." promptTitle="Toelichting:" prompt="Op deze plaats wordt het scenario [Storing en reparatie] hergebruikt._x000a_De keuze om dit al dan niet toe te passen kan helemaal rechts worden gemaakt." sqref="E66">
      <formula1>0</formula1>
    </dataValidation>
    <dataValidation type="custom" showInputMessage="1" showErrorMessage="1" errorTitle="Gegevens afgeschermd!" error="Deze gegevens zijn afgeschermd om incidentele wijziging van de cel te voorkomen." promptTitle="Blok steigerkosten toepassen:" prompt="Selecteer hier of de gegevens met betrekking tot de kosten van steigerbouw toegepast dienen te worden in de kostprijsberekening." sqref="E70">
      <formula1>0</formula1>
    </dataValidation>
    <dataValidation type="custom" showInputMessage="1" showErrorMessage="1" errorTitle="Data afgeschermd!" error="Deze gegevens zijn afgeschermd om incidentele wijziging van de formule te voorkomen." promptTitle="Blok isolatiemateriaal toepassen" prompt="Geef hier aan of dit gedeelte (blok) met de gegevens om de kosten te berekenen van de montage van nieuwe isolatie, toegepast dient te worden." sqref="E76">
      <formula1>0</formula1>
    </dataValidation>
    <dataValidation type="custom" showInputMessage="1" showErrorMessage="1" errorTitle="Nota bene:" error="Deze cellen zijn afgeschermd om onbedoelde wijziging te voorkomen." promptTitle="Optie / blok:" prompt="Deze regels bevatten de informatie om, met behulp van de kostenberekening in de cellen links van dit blok, de kosten van de betreffende optie over de gehele levensduur uit te rekenen." sqref="G61:G65 G67:G69 G71:G75 G77:G80">
      <formula1>0</formula1>
    </dataValidation>
    <dataValidation type="custom" showInputMessage="1" showErrorMessage="1" errorTitle="Data afgeschermd." error="Deze gegevens zijn afgeschermd om incidentele wijziging van de formule te voorkomen." promptTitle="Totaal kosten:" prompt="De optelsom van al de posten die hierboven door middel van &quot;Ja&quot; zijn aangekruisd, samen met de altijd aanwezige kosten van de voor-inspectie." sqref="F81">
      <formula1>0</formula1>
    </dataValidation>
  </dataValidations>
  <pageMargins left="0.7" right="0.7" top="0.75" bottom="0.75" header="0.3" footer="0.3"/>
  <pageSetup orientation="portrait" r:id="rId1"/>
  <ignoredErrors>
    <ignoredError sqref="F20" formula="1"/>
  </ignoredErrors>
  <legacyDrawing r:id="rId2"/>
  <extLst>
    <ext xmlns:x14="http://schemas.microsoft.com/office/spreadsheetml/2009/9/main" uri="{CCE6A557-97BC-4b89-ADB6-D9C93CAAB3DF}">
      <x14:dataValidations xmlns:xm="http://schemas.microsoft.com/office/excel/2006/main" xWindow="595" yWindow="296" count="3">
        <x14:dataValidation type="list" errorStyle="warning" allowBlank="1" showInputMessage="1" showErrorMessage="1" errorTitle="Let op:" error="Te grote of te kleine waarden kunnen tot afwijkingen leiden in verhouding tot de referenties!" promptTitle="Dikte van de isolatielaag;" prompt="Vanuit de referenties zijn voor koude isolatie, laagdiktes van 25-150 mm voorzien. Voor warmte isolatie 30-280 mm._x000a_Bij grotere of kleinere waarden ontbreekt een referentie en zijn dus grotere afwijkingen mogelijk.">
          <x14:formula1>
            <xm:f>'Source INSU 2002'!$C$45:$L$45</xm:f>
          </x14:formula1>
          <xm:sqref>D79</xm:sqref>
        </x14:dataValidation>
        <x14:dataValidation type="list" allowBlank="1" showInputMessage="1" showErrorMessage="1" promptTitle="Typical:" prompt="De schadevorm die in dit geval van specifiek belang is en die bepalend is voor de conditie/integriteit van de installatie.">
          <x14:formula1>
            <xm:f>'NDT Effectiviteit'!$B$14:$B$19</xm:f>
          </x14:formula1>
          <xm:sqref>D67:F67</xm:sqref>
        </x14:dataValidation>
        <x14:dataValidation type="list" errorStyle="warning" allowBlank="1" showInputMessage="1" showErrorMessage="1" errorTitle="Let op:" error="Te grote of te kleine waarden kunnen tot grote afwijkingen leiden." promptTitle="Leiding diameter:" prompt="Info is beschikbaar voor leidingdiameters van 10-900 mm voor warmte isolatie en van 20-600 mm voor koude isolatie._x000a_Bij andere waarden wordt de dichtsbijzijnde waarde gebruikt.">
          <x14:formula1>
            <xm:f>'Source INSU 2002'!B46:B64</xm:f>
          </x14:formula1>
          <xm:sqref>D78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outlinePr summaryBelow="0" summaryRight="0"/>
  </sheetPr>
  <dimension ref="A1:J9"/>
  <sheetViews>
    <sheetView workbookViewId="0">
      <selection activeCell="C1" sqref="C1"/>
    </sheetView>
  </sheetViews>
  <sheetFormatPr defaultColWidth="0" defaultRowHeight="15" zeroHeight="1" outlineLevelCol="1" x14ac:dyDescent="0.25"/>
  <cols>
    <col min="1" max="1" width="52.5703125" customWidth="1" collapsed="1"/>
    <col min="2" max="2" width="36.42578125" hidden="1" customWidth="1" outlineLevel="1"/>
    <col min="3" max="3" width="9.140625" customWidth="1"/>
    <col min="4" max="4" width="4.140625" customWidth="1"/>
    <col min="5" max="5" width="45.85546875" customWidth="1" collapsed="1"/>
    <col min="6" max="6" width="40.28515625" hidden="1" customWidth="1" outlineLevel="1"/>
    <col min="7" max="7" width="12.42578125" customWidth="1"/>
    <col min="8" max="8" width="18.7109375" customWidth="1"/>
    <col min="9" max="9" width="13.140625" customWidth="1"/>
    <col min="10" max="10" width="4.85546875" customWidth="1"/>
    <col min="11" max="16384" width="9.140625" hidden="1"/>
  </cols>
  <sheetData>
    <row r="1" spans="1:10" ht="30.75" thickBot="1" x14ac:dyDescent="0.3">
      <c r="A1" s="2" t="s">
        <v>70</v>
      </c>
      <c r="B1" s="2" t="s">
        <v>51</v>
      </c>
      <c r="D1" s="45"/>
      <c r="G1" s="24" t="s">
        <v>63</v>
      </c>
      <c r="H1" s="24" t="s">
        <v>64</v>
      </c>
      <c r="I1" s="24" t="s">
        <v>62</v>
      </c>
      <c r="J1" s="45"/>
    </row>
    <row r="2" spans="1:10" ht="45.75" thickBot="1" x14ac:dyDescent="0.3">
      <c r="A2" s="22" t="s">
        <v>65</v>
      </c>
      <c r="B2" s="22" t="s">
        <v>57</v>
      </c>
      <c r="C2" s="26"/>
      <c r="D2" s="45"/>
      <c r="E2" s="22" t="s">
        <v>99</v>
      </c>
      <c r="F2" s="22" t="s">
        <v>58</v>
      </c>
      <c r="G2" s="25" t="s">
        <v>102</v>
      </c>
      <c r="H2" s="25" t="s">
        <v>103</v>
      </c>
      <c r="I2" s="25" t="s">
        <v>104</v>
      </c>
      <c r="J2" s="45"/>
    </row>
    <row r="3" spans="1:10" x14ac:dyDescent="0.25">
      <c r="A3" s="3" t="s">
        <v>66</v>
      </c>
      <c r="B3" s="3" t="s">
        <v>52</v>
      </c>
      <c r="C3" s="12">
        <v>18000</v>
      </c>
      <c r="D3" s="45"/>
      <c r="E3" s="3" t="s">
        <v>100</v>
      </c>
      <c r="F3" s="3" t="s">
        <v>59</v>
      </c>
      <c r="G3" s="48">
        <f>C3*(1+C7)</f>
        <v>22500</v>
      </c>
      <c r="H3" s="48">
        <f>C3*(1+C7)*TRUNC((C8)/C5) / C8</f>
        <v>2250</v>
      </c>
      <c r="I3" s="48">
        <f>H3*C8</f>
        <v>90000</v>
      </c>
      <c r="J3" s="45"/>
    </row>
    <row r="4" spans="1:10" x14ac:dyDescent="0.25">
      <c r="A4" s="3" t="s">
        <v>67</v>
      </c>
      <c r="B4" s="3" t="s">
        <v>53</v>
      </c>
      <c r="C4" s="12">
        <v>3400</v>
      </c>
      <c r="D4" s="45"/>
      <c r="E4" s="3" t="s">
        <v>101</v>
      </c>
      <c r="F4" s="3" t="s">
        <v>60</v>
      </c>
      <c r="G4" s="48">
        <f>C4 + (C3*C7)</f>
        <v>7900</v>
      </c>
      <c r="H4" s="48">
        <f>(C4 + (C3*C7) )* TRUNC((C8)/C6) / C8</f>
        <v>1580</v>
      </c>
      <c r="I4" s="48">
        <f>H4*C8</f>
        <v>63200</v>
      </c>
      <c r="J4" s="45"/>
    </row>
    <row r="5" spans="1:10" x14ac:dyDescent="0.25">
      <c r="A5" s="3" t="s">
        <v>105</v>
      </c>
      <c r="B5" s="3" t="s">
        <v>54</v>
      </c>
      <c r="C5" s="49">
        <v>10</v>
      </c>
      <c r="D5" s="45"/>
      <c r="E5" s="45"/>
      <c r="F5" s="45"/>
      <c r="G5" s="45"/>
      <c r="H5" s="45"/>
      <c r="I5" s="45"/>
      <c r="J5" s="45"/>
    </row>
    <row r="6" spans="1:10" x14ac:dyDescent="0.25">
      <c r="A6" s="3" t="s">
        <v>106</v>
      </c>
      <c r="B6" s="3" t="s">
        <v>55</v>
      </c>
      <c r="C6" s="49">
        <v>5</v>
      </c>
      <c r="D6" s="45"/>
      <c r="E6" s="367" t="s">
        <v>346</v>
      </c>
      <c r="F6" s="368"/>
      <c r="G6" s="368"/>
      <c r="H6" s="368"/>
      <c r="I6" s="368"/>
      <c r="J6" s="45"/>
    </row>
    <row r="7" spans="1:10" ht="15" customHeight="1" x14ac:dyDescent="0.25">
      <c r="A7" s="3" t="s">
        <v>68</v>
      </c>
      <c r="B7" s="3" t="s">
        <v>56</v>
      </c>
      <c r="C7" s="50">
        <v>0.25</v>
      </c>
      <c r="D7" s="45"/>
      <c r="E7" s="369" t="s">
        <v>347</v>
      </c>
      <c r="F7" s="370"/>
      <c r="G7" s="370"/>
      <c r="H7" s="370"/>
      <c r="I7" s="370"/>
      <c r="J7" s="45"/>
    </row>
    <row r="8" spans="1:10" x14ac:dyDescent="0.25">
      <c r="A8" s="3" t="s">
        <v>69</v>
      </c>
      <c r="B8" s="3" t="s">
        <v>61</v>
      </c>
      <c r="C8" s="49">
        <v>40</v>
      </c>
      <c r="D8" s="45"/>
      <c r="E8" s="371" t="s">
        <v>348</v>
      </c>
      <c r="F8" s="372"/>
      <c r="G8" s="372"/>
      <c r="H8" s="372"/>
      <c r="I8" s="372"/>
      <c r="J8" s="45"/>
    </row>
    <row r="9" spans="1:10" x14ac:dyDescent="0.25">
      <c r="A9" s="45"/>
      <c r="B9" s="45"/>
      <c r="C9" s="45"/>
      <c r="D9" s="45"/>
      <c r="E9" s="45"/>
      <c r="F9" s="45"/>
      <c r="G9" s="45"/>
      <c r="H9" s="45"/>
      <c r="I9" s="45"/>
      <c r="J9" s="45"/>
    </row>
  </sheetData>
  <mergeCells count="3">
    <mergeCell ref="E6:I6"/>
    <mergeCell ref="E7:I7"/>
    <mergeCell ref="E8:I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8"/>
  <sheetViews>
    <sheetView workbookViewId="0">
      <selection activeCell="C6" sqref="C6"/>
    </sheetView>
  </sheetViews>
  <sheetFormatPr defaultColWidth="0" defaultRowHeight="15" zeroHeight="1" x14ac:dyDescent="0.25"/>
  <cols>
    <col min="1" max="1" width="2.5703125" customWidth="1"/>
    <col min="2" max="2" width="8.28515625" customWidth="1"/>
    <col min="3" max="3" width="40.42578125" customWidth="1"/>
    <col min="4" max="4" width="13.5703125" customWidth="1"/>
    <col min="5" max="5" width="45.42578125" customWidth="1"/>
    <col min="6" max="6" width="89.28515625" customWidth="1"/>
    <col min="7" max="16384" width="9.140625" hidden="1"/>
  </cols>
  <sheetData>
    <row r="1" spans="2:6" x14ac:dyDescent="0.25"/>
    <row r="2" spans="2:6" ht="15.75" x14ac:dyDescent="0.25">
      <c r="B2" s="373" t="s">
        <v>132</v>
      </c>
      <c r="C2" s="373"/>
      <c r="D2" s="373"/>
      <c r="E2" s="373"/>
      <c r="F2" s="373"/>
    </row>
    <row r="3" spans="2:6" ht="15.75" thickBot="1" x14ac:dyDescent="0.3">
      <c r="B3" s="31" t="s">
        <v>134</v>
      </c>
      <c r="C3" s="31" t="s">
        <v>135</v>
      </c>
      <c r="D3" s="31" t="s">
        <v>136</v>
      </c>
      <c r="E3" s="31" t="s">
        <v>137</v>
      </c>
      <c r="F3" s="31" t="s">
        <v>138</v>
      </c>
    </row>
    <row r="4" spans="2:6" ht="31.5" x14ac:dyDescent="0.25">
      <c r="B4" s="55">
        <v>1</v>
      </c>
      <c r="C4" s="23" t="s">
        <v>133</v>
      </c>
      <c r="D4" s="56" t="s">
        <v>139</v>
      </c>
      <c r="E4" s="23" t="s">
        <v>140</v>
      </c>
      <c r="F4" s="57" t="s">
        <v>141</v>
      </c>
    </row>
    <row r="5" spans="2:6" ht="46.5" x14ac:dyDescent="0.25">
      <c r="B5" s="55">
        <v>2</v>
      </c>
      <c r="C5" s="23" t="s">
        <v>144</v>
      </c>
      <c r="D5" s="56" t="s">
        <v>143</v>
      </c>
      <c r="E5" s="23" t="s">
        <v>142</v>
      </c>
      <c r="F5" s="57" t="s">
        <v>145</v>
      </c>
    </row>
    <row r="6" spans="2:6" x14ac:dyDescent="0.25">
      <c r="B6" s="55">
        <v>3</v>
      </c>
      <c r="C6" s="23"/>
      <c r="D6" s="56"/>
      <c r="E6" s="23"/>
      <c r="F6" s="57"/>
    </row>
    <row r="7" spans="2:6" x14ac:dyDescent="0.25"/>
    <row r="8" spans="2:6" x14ac:dyDescent="0.25"/>
  </sheetData>
  <mergeCells count="1">
    <mergeCell ref="B2:F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2"/>
  <sheetViews>
    <sheetView zoomScale="85" zoomScaleNormal="85" workbookViewId="0">
      <selection activeCell="O2" sqref="O2"/>
    </sheetView>
  </sheetViews>
  <sheetFormatPr defaultColWidth="0" defaultRowHeight="15" zeroHeight="1" outlineLevelCol="1" x14ac:dyDescent="0.3"/>
  <cols>
    <col min="1" max="1" width="4.42578125" style="230" customWidth="1"/>
    <col min="2" max="2" width="54.85546875" style="230" customWidth="1"/>
    <col min="3" max="13" width="4.42578125" style="230" customWidth="1"/>
    <col min="14" max="14" width="60.140625" style="230" customWidth="1"/>
    <col min="15" max="15" width="15.85546875" style="230" customWidth="1"/>
    <col min="16" max="16" width="44.140625" style="230" hidden="1" customWidth="1" outlineLevel="1"/>
    <col min="17" max="17" width="48" style="230" customWidth="1" collapsed="1"/>
    <col min="18" max="16384" width="9.140625" style="230" hidden="1"/>
  </cols>
  <sheetData>
    <row r="1" spans="2:16" x14ac:dyDescent="0.3">
      <c r="C1" s="390" t="s">
        <v>289</v>
      </c>
      <c r="D1" s="390"/>
      <c r="E1" s="390"/>
      <c r="F1" s="390"/>
      <c r="G1" s="390"/>
      <c r="H1" s="390"/>
      <c r="I1" s="390"/>
      <c r="J1" s="390"/>
      <c r="K1" s="390"/>
      <c r="L1" s="390"/>
      <c r="M1" s="390"/>
      <c r="N1" s="269" t="s">
        <v>363</v>
      </c>
      <c r="O1" s="244" t="s">
        <v>288</v>
      </c>
    </row>
    <row r="2" spans="2:16" x14ac:dyDescent="0.3">
      <c r="B2" s="244" t="s">
        <v>287</v>
      </c>
      <c r="C2" s="345" t="s">
        <v>362</v>
      </c>
      <c r="D2" s="266"/>
      <c r="E2" s="266"/>
      <c r="F2" s="266"/>
      <c r="G2" s="266"/>
      <c r="H2" s="266"/>
      <c r="I2" s="266"/>
      <c r="J2" s="266"/>
      <c r="K2" s="265"/>
      <c r="L2" s="261"/>
      <c r="M2" s="261"/>
      <c r="N2" s="261"/>
      <c r="O2" s="343">
        <f>640/2</f>
        <v>320</v>
      </c>
      <c r="P2" s="344" t="str">
        <f>C2</f>
        <v>1) 	Visuele inspectie met uitpakken.</v>
      </c>
    </row>
    <row r="3" spans="2:16" x14ac:dyDescent="0.3">
      <c r="B3" s="374" t="s">
        <v>285</v>
      </c>
      <c r="C3" s="262"/>
      <c r="D3" s="335" t="s">
        <v>333</v>
      </c>
      <c r="E3" s="266"/>
      <c r="F3" s="266"/>
      <c r="G3" s="266"/>
      <c r="H3" s="266"/>
      <c r="I3" s="266"/>
      <c r="J3" s="266"/>
      <c r="K3" s="266"/>
      <c r="L3" s="265"/>
      <c r="M3" s="261"/>
      <c r="N3" s="261"/>
      <c r="O3" s="343">
        <f>600/2</f>
        <v>300</v>
      </c>
      <c r="P3" s="344" t="str">
        <f>D3</f>
        <v>2) On stream RT (film)</v>
      </c>
    </row>
    <row r="4" spans="2:16" x14ac:dyDescent="0.3">
      <c r="B4" s="374"/>
      <c r="C4" s="262"/>
      <c r="D4" s="262"/>
      <c r="E4" s="335" t="s">
        <v>341</v>
      </c>
      <c r="F4" s="266"/>
      <c r="G4" s="266"/>
      <c r="H4" s="266"/>
      <c r="I4" s="266"/>
      <c r="J4" s="266"/>
      <c r="K4" s="266"/>
      <c r="L4" s="266"/>
      <c r="M4" s="265"/>
      <c r="N4" s="261"/>
      <c r="O4" s="343">
        <f>400/2</f>
        <v>200</v>
      </c>
      <c r="P4" s="344" t="str">
        <f>E4</f>
        <v>3) On stream RT (digitaal)</v>
      </c>
    </row>
    <row r="5" spans="2:16" x14ac:dyDescent="0.3">
      <c r="B5" s="374"/>
      <c r="C5" s="262"/>
      <c r="D5" s="262"/>
      <c r="E5" s="262"/>
      <c r="F5" s="334" t="s">
        <v>334</v>
      </c>
      <c r="G5" s="268"/>
      <c r="H5" s="268"/>
      <c r="I5" s="268"/>
      <c r="J5" s="268"/>
      <c r="K5" s="268"/>
      <c r="L5" s="268"/>
      <c r="M5" s="267"/>
      <c r="N5" s="261"/>
      <c r="O5" s="343">
        <f>150/2</f>
        <v>75</v>
      </c>
      <c r="P5" s="344" t="str">
        <f>F5</f>
        <v>4) Profile radiografie</v>
      </c>
    </row>
    <row r="6" spans="2:16" x14ac:dyDescent="0.3">
      <c r="B6" s="374"/>
      <c r="C6" s="262"/>
      <c r="D6" s="262"/>
      <c r="E6" s="262"/>
      <c r="F6" s="264"/>
      <c r="G6" s="335" t="s">
        <v>335</v>
      </c>
      <c r="H6" s="266"/>
      <c r="I6" s="266"/>
      <c r="J6" s="266"/>
      <c r="K6" s="266"/>
      <c r="L6" s="266"/>
      <c r="M6" s="265"/>
      <c r="N6" s="261"/>
      <c r="O6" s="343">
        <f>2400/2</f>
        <v>1200</v>
      </c>
      <c r="P6" s="344" t="str">
        <f>G6</f>
        <v>5) Guided Waves / Long Range UT</v>
      </c>
    </row>
    <row r="7" spans="2:16" x14ac:dyDescent="0.3">
      <c r="B7" s="374"/>
      <c r="C7" s="262"/>
      <c r="D7" s="262"/>
      <c r="E7" s="262"/>
      <c r="F7" s="264"/>
      <c r="G7" s="262"/>
      <c r="H7" s="335" t="s">
        <v>336</v>
      </c>
      <c r="I7" s="266"/>
      <c r="J7" s="266"/>
      <c r="K7" s="266"/>
      <c r="L7" s="266"/>
      <c r="M7" s="265"/>
      <c r="N7" s="261"/>
      <c r="O7" s="343">
        <f>4000/2</f>
        <v>2000</v>
      </c>
      <c r="P7" s="344" t="str">
        <f>H7</f>
        <v>6)  PEC / PEC Array</v>
      </c>
    </row>
    <row r="8" spans="2:16" x14ac:dyDescent="0.3">
      <c r="B8" s="374"/>
      <c r="C8" s="262"/>
      <c r="D8" s="262"/>
      <c r="E8" s="262"/>
      <c r="F8" s="264"/>
      <c r="G8" s="262"/>
      <c r="H8" s="262"/>
      <c r="I8" s="334" t="s">
        <v>337</v>
      </c>
      <c r="J8" s="268"/>
      <c r="K8" s="268"/>
      <c r="L8" s="268"/>
      <c r="M8" s="267"/>
      <c r="N8" s="261"/>
      <c r="O8" s="343">
        <f>12000/2</f>
        <v>6000</v>
      </c>
      <c r="P8" s="344" t="str">
        <f>I8</f>
        <v>7) In-line inspection (intelligent pigging)</v>
      </c>
    </row>
    <row r="9" spans="2:16" x14ac:dyDescent="0.3">
      <c r="B9" s="374"/>
      <c r="C9" s="262"/>
      <c r="D9" s="262"/>
      <c r="E9" s="262"/>
      <c r="F9" s="264"/>
      <c r="G9" s="262"/>
      <c r="H9" s="262"/>
      <c r="I9" s="264"/>
      <c r="J9" s="335" t="s">
        <v>338</v>
      </c>
      <c r="K9" s="266"/>
      <c r="L9" s="266"/>
      <c r="M9" s="265"/>
      <c r="N9" s="261"/>
      <c r="O9" s="343">
        <f>625/2</f>
        <v>312.5</v>
      </c>
      <c r="P9" s="344" t="str">
        <f>J9</f>
        <v>8) Ultrasone wanddikte meting</v>
      </c>
    </row>
    <row r="10" spans="2:16" x14ac:dyDescent="0.3">
      <c r="B10" s="374"/>
      <c r="C10" s="262"/>
      <c r="D10" s="262"/>
      <c r="E10" s="262"/>
      <c r="F10" s="264"/>
      <c r="G10" s="262"/>
      <c r="H10" s="262"/>
      <c r="I10" s="264"/>
      <c r="J10" s="263"/>
      <c r="K10" s="335" t="s">
        <v>339</v>
      </c>
      <c r="L10" s="266"/>
      <c r="M10" s="265"/>
      <c r="N10" s="261"/>
      <c r="O10" s="343">
        <f>1133/2</f>
        <v>566.5</v>
      </c>
      <c r="P10" s="344" t="str">
        <f>K10</f>
        <v>9) UT C-scan mapping</v>
      </c>
    </row>
    <row r="11" spans="2:16" x14ac:dyDescent="0.3">
      <c r="B11" s="374"/>
      <c r="C11" s="262"/>
      <c r="D11" s="262"/>
      <c r="E11" s="262"/>
      <c r="F11" s="264"/>
      <c r="G11" s="262"/>
      <c r="H11" s="262"/>
      <c r="I11" s="264"/>
      <c r="J11" s="263"/>
      <c r="K11" s="262"/>
      <c r="L11" s="335" t="s">
        <v>340</v>
      </c>
      <c r="M11" s="265"/>
      <c r="N11" s="261"/>
      <c r="O11" s="343">
        <f>64/2</f>
        <v>32</v>
      </c>
      <c r="P11" s="344" t="str">
        <f>L11</f>
        <v>10) Thermografie</v>
      </c>
    </row>
    <row r="12" spans="2:16" x14ac:dyDescent="0.3">
      <c r="B12" s="374"/>
      <c r="C12" s="262"/>
      <c r="D12" s="262"/>
      <c r="E12" s="262"/>
      <c r="F12" s="264"/>
      <c r="G12" s="262"/>
      <c r="H12" s="262"/>
      <c r="I12" s="264"/>
      <c r="J12" s="263"/>
      <c r="K12" s="262"/>
      <c r="L12" s="262"/>
      <c r="M12" s="333" t="s">
        <v>325</v>
      </c>
      <c r="N12" s="261"/>
      <c r="O12" s="343">
        <f>1024/2</f>
        <v>512</v>
      </c>
      <c r="P12" s="344" t="str">
        <f>M12</f>
        <v>11) Neutron Backscatter (tbv vochtdetectie)</v>
      </c>
    </row>
    <row r="13" spans="2:16" ht="15.75" thickBot="1" x14ac:dyDescent="0.35">
      <c r="B13" s="260" t="s">
        <v>268</v>
      </c>
      <c r="C13" s="258"/>
      <c r="D13" s="258"/>
      <c r="E13" s="258"/>
      <c r="F13" s="259"/>
      <c r="G13" s="258"/>
      <c r="H13" s="258"/>
      <c r="I13" s="259"/>
      <c r="J13" s="258"/>
      <c r="K13" s="258"/>
      <c r="L13" s="258"/>
      <c r="M13" s="258"/>
      <c r="N13" s="257" t="s">
        <v>284</v>
      </c>
      <c r="O13" s="349" t="s">
        <v>368</v>
      </c>
      <c r="P13" s="256"/>
    </row>
    <row r="14" spans="2:16" x14ac:dyDescent="0.3">
      <c r="B14" s="254" t="s">
        <v>327</v>
      </c>
      <c r="C14" s="346" t="s">
        <v>258</v>
      </c>
      <c r="D14" s="255" t="s">
        <v>257</v>
      </c>
      <c r="E14" s="332" t="s">
        <v>257</v>
      </c>
      <c r="F14" s="327" t="s">
        <v>257</v>
      </c>
      <c r="G14" s="326" t="s">
        <v>256</v>
      </c>
      <c r="H14" s="326" t="s">
        <v>256</v>
      </c>
      <c r="I14" s="327" t="s">
        <v>257</v>
      </c>
      <c r="J14" s="326" t="s">
        <v>258</v>
      </c>
      <c r="K14" s="255" t="s">
        <v>257</v>
      </c>
      <c r="L14" s="255" t="s">
        <v>255</v>
      </c>
      <c r="M14" s="336" t="s">
        <v>255</v>
      </c>
      <c r="N14" s="242"/>
    </row>
    <row r="15" spans="2:16" x14ac:dyDescent="0.3">
      <c r="B15" s="254" t="s">
        <v>328</v>
      </c>
      <c r="C15" s="347" t="s">
        <v>258</v>
      </c>
      <c r="D15" s="252" t="s">
        <v>258</v>
      </c>
      <c r="E15" s="328" t="s">
        <v>258</v>
      </c>
      <c r="F15" s="329" t="s">
        <v>257</v>
      </c>
      <c r="G15" s="328" t="s">
        <v>256</v>
      </c>
      <c r="H15" s="328" t="s">
        <v>256</v>
      </c>
      <c r="I15" s="329" t="s">
        <v>257</v>
      </c>
      <c r="J15" s="328" t="s">
        <v>258</v>
      </c>
      <c r="K15" s="252" t="s">
        <v>258</v>
      </c>
      <c r="L15" s="252" t="s">
        <v>255</v>
      </c>
      <c r="M15" s="337" t="s">
        <v>255</v>
      </c>
      <c r="N15" s="242"/>
    </row>
    <row r="16" spans="2:16" x14ac:dyDescent="0.3">
      <c r="B16" s="254" t="s">
        <v>329</v>
      </c>
      <c r="C16" s="347" t="s">
        <v>258</v>
      </c>
      <c r="D16" s="252" t="s">
        <v>258</v>
      </c>
      <c r="E16" s="328" t="s">
        <v>258</v>
      </c>
      <c r="F16" s="329" t="s">
        <v>257</v>
      </c>
      <c r="G16" s="328" t="s">
        <v>255</v>
      </c>
      <c r="H16" s="328" t="s">
        <v>257</v>
      </c>
      <c r="I16" s="329" t="s">
        <v>254</v>
      </c>
      <c r="J16" s="328" t="s">
        <v>254</v>
      </c>
      <c r="K16" s="252" t="s">
        <v>258</v>
      </c>
      <c r="L16" s="252" t="s">
        <v>254</v>
      </c>
      <c r="M16" s="337" t="s">
        <v>255</v>
      </c>
      <c r="N16" s="242"/>
    </row>
    <row r="17" spans="2:14" x14ac:dyDescent="0.3">
      <c r="B17" s="254" t="s">
        <v>330</v>
      </c>
      <c r="C17" s="347" t="s">
        <v>255</v>
      </c>
      <c r="D17" s="252" t="s">
        <v>257</v>
      </c>
      <c r="E17" s="328" t="s">
        <v>258</v>
      </c>
      <c r="F17" s="329" t="s">
        <v>256</v>
      </c>
      <c r="G17" s="328" t="s">
        <v>256</v>
      </c>
      <c r="H17" s="328" t="s">
        <v>254</v>
      </c>
      <c r="I17" s="329" t="s">
        <v>258</v>
      </c>
      <c r="J17" s="328" t="s">
        <v>254</v>
      </c>
      <c r="K17" s="252" t="s">
        <v>254</v>
      </c>
      <c r="L17" s="252" t="s">
        <v>255</v>
      </c>
      <c r="M17" s="337" t="s">
        <v>254</v>
      </c>
      <c r="N17" s="242"/>
    </row>
    <row r="18" spans="2:14" ht="15.75" x14ac:dyDescent="0.3">
      <c r="B18" s="254" t="s">
        <v>331</v>
      </c>
      <c r="C18" s="347" t="s">
        <v>258</v>
      </c>
      <c r="D18" s="252" t="s">
        <v>257</v>
      </c>
      <c r="E18" s="328" t="s">
        <v>257</v>
      </c>
      <c r="F18" s="329" t="s">
        <v>257</v>
      </c>
      <c r="G18" s="328" t="s">
        <v>258</v>
      </c>
      <c r="H18" s="328" t="s">
        <v>257</v>
      </c>
      <c r="I18" s="329" t="s">
        <v>258</v>
      </c>
      <c r="J18" s="328" t="s">
        <v>258</v>
      </c>
      <c r="K18" s="252" t="s">
        <v>258</v>
      </c>
      <c r="L18" s="252" t="s">
        <v>256</v>
      </c>
      <c r="M18" s="337" t="s">
        <v>255</v>
      </c>
      <c r="N18" s="242" t="s">
        <v>283</v>
      </c>
    </row>
    <row r="19" spans="2:14" ht="15.75" thickBot="1" x14ac:dyDescent="0.35">
      <c r="B19" s="253" t="s">
        <v>332</v>
      </c>
      <c r="C19" s="347" t="s">
        <v>258</v>
      </c>
      <c r="D19" s="252" t="s">
        <v>258</v>
      </c>
      <c r="E19" s="328" t="s">
        <v>258</v>
      </c>
      <c r="F19" s="329" t="s">
        <v>258</v>
      </c>
      <c r="G19" s="328" t="s">
        <v>258</v>
      </c>
      <c r="H19" s="328" t="s">
        <v>257</v>
      </c>
      <c r="I19" s="329" t="s">
        <v>258</v>
      </c>
      <c r="J19" s="328" t="s">
        <v>258</v>
      </c>
      <c r="K19" s="252" t="s">
        <v>258</v>
      </c>
      <c r="L19" s="252" t="s">
        <v>256</v>
      </c>
      <c r="M19" s="337" t="s">
        <v>255</v>
      </c>
      <c r="N19" s="242"/>
    </row>
    <row r="20" spans="2:14" x14ac:dyDescent="0.3">
      <c r="B20" s="348" t="s">
        <v>366</v>
      </c>
      <c r="C20" s="391" t="s">
        <v>282</v>
      </c>
      <c r="D20" s="392"/>
      <c r="E20" s="392"/>
      <c r="F20" s="392"/>
      <c r="G20" s="392"/>
      <c r="H20" s="392"/>
      <c r="I20" s="392"/>
      <c r="J20" s="392"/>
      <c r="K20" s="392"/>
      <c r="L20" s="392"/>
      <c r="M20" s="393"/>
      <c r="N20" s="251"/>
    </row>
    <row r="21" spans="2:14" ht="29.25" customHeight="1" x14ac:dyDescent="0.3">
      <c r="B21" s="247" t="s">
        <v>281</v>
      </c>
      <c r="C21" s="249"/>
      <c r="D21" s="249"/>
      <c r="E21" s="249"/>
      <c r="F21" s="250"/>
      <c r="G21" s="249"/>
      <c r="H21" s="249"/>
      <c r="I21" s="250"/>
      <c r="J21" s="249"/>
      <c r="K21" s="249"/>
      <c r="L21" s="249"/>
      <c r="M21" s="395" t="s">
        <v>364</v>
      </c>
      <c r="N21" s="396"/>
    </row>
    <row r="22" spans="2:14" ht="45" x14ac:dyDescent="0.3">
      <c r="B22" s="248" t="s">
        <v>280</v>
      </c>
      <c r="C22" s="245"/>
      <c r="D22" s="245"/>
      <c r="E22" s="245"/>
      <c r="F22" s="246"/>
      <c r="G22" s="245"/>
      <c r="H22" s="245"/>
      <c r="I22" s="246"/>
      <c r="J22" s="245"/>
      <c r="K22" s="245"/>
      <c r="L22" s="394" t="s">
        <v>365</v>
      </c>
      <c r="M22" s="376"/>
      <c r="N22" s="376"/>
    </row>
    <row r="23" spans="2:14" ht="30" x14ac:dyDescent="0.3">
      <c r="B23" s="248" t="s">
        <v>279</v>
      </c>
      <c r="C23" s="245"/>
      <c r="D23" s="245"/>
      <c r="E23" s="245"/>
      <c r="F23" s="246"/>
      <c r="G23" s="245"/>
      <c r="H23" s="245"/>
      <c r="I23" s="246"/>
      <c r="J23" s="245"/>
      <c r="K23" s="375"/>
      <c r="L23" s="376"/>
      <c r="M23" s="376"/>
      <c r="N23" s="376"/>
    </row>
    <row r="24" spans="2:14" ht="45" x14ac:dyDescent="0.3">
      <c r="B24" s="248" t="s">
        <v>278</v>
      </c>
      <c r="C24" s="245"/>
      <c r="D24" s="245"/>
      <c r="E24" s="245"/>
      <c r="F24" s="246"/>
      <c r="G24" s="245"/>
      <c r="H24" s="245"/>
      <c r="I24" s="246"/>
      <c r="J24" s="375"/>
      <c r="K24" s="376"/>
      <c r="L24" s="376"/>
      <c r="M24" s="376"/>
      <c r="N24" s="376"/>
    </row>
    <row r="25" spans="2:14" x14ac:dyDescent="0.3">
      <c r="B25" s="247" t="s">
        <v>277</v>
      </c>
      <c r="C25" s="245"/>
      <c r="D25" s="245"/>
      <c r="E25" s="245"/>
      <c r="F25" s="246"/>
      <c r="G25" s="245"/>
      <c r="H25" s="245"/>
      <c r="I25" s="387"/>
      <c r="J25" s="388"/>
      <c r="K25" s="388"/>
      <c r="L25" s="388"/>
      <c r="M25" s="388"/>
      <c r="N25" s="388"/>
    </row>
    <row r="26" spans="2:14" x14ac:dyDescent="0.3">
      <c r="B26" s="374" t="s">
        <v>276</v>
      </c>
      <c r="C26" s="245"/>
      <c r="D26" s="245"/>
      <c r="E26" s="245"/>
      <c r="F26" s="246"/>
      <c r="G26" s="245"/>
      <c r="H26" s="375"/>
      <c r="I26" s="376"/>
      <c r="J26" s="376"/>
      <c r="K26" s="376"/>
      <c r="L26" s="376"/>
      <c r="M26" s="376"/>
      <c r="N26" s="376"/>
    </row>
    <row r="27" spans="2:14" x14ac:dyDescent="0.3">
      <c r="B27" s="374"/>
      <c r="C27" s="245"/>
      <c r="D27" s="245"/>
      <c r="E27" s="245"/>
      <c r="F27" s="246"/>
      <c r="G27" s="375"/>
      <c r="H27" s="376"/>
      <c r="I27" s="376"/>
      <c r="J27" s="376"/>
      <c r="K27" s="376"/>
      <c r="L27" s="376"/>
      <c r="M27" s="376"/>
      <c r="N27" s="376"/>
    </row>
    <row r="28" spans="2:14" x14ac:dyDescent="0.3">
      <c r="B28" s="374"/>
      <c r="C28" s="245"/>
      <c r="D28" s="245"/>
      <c r="E28" s="245"/>
      <c r="F28" s="387" t="s">
        <v>275</v>
      </c>
      <c r="G28" s="388"/>
      <c r="H28" s="388"/>
      <c r="I28" s="388"/>
      <c r="J28" s="388"/>
      <c r="K28" s="388"/>
      <c r="L28" s="388"/>
      <c r="M28" s="388"/>
      <c r="N28" s="388"/>
    </row>
    <row r="29" spans="2:14" x14ac:dyDescent="0.3">
      <c r="B29" s="374"/>
      <c r="C29" s="245"/>
      <c r="D29" s="245"/>
      <c r="E29" s="375" t="s">
        <v>274</v>
      </c>
      <c r="F29" s="376"/>
      <c r="G29" s="376"/>
      <c r="H29" s="376"/>
      <c r="I29" s="376"/>
      <c r="J29" s="376"/>
      <c r="K29" s="376"/>
      <c r="L29" s="376"/>
      <c r="M29" s="376"/>
      <c r="N29" s="376"/>
    </row>
    <row r="30" spans="2:14" x14ac:dyDescent="0.3">
      <c r="B30" s="374"/>
      <c r="C30" s="245"/>
      <c r="D30" s="375" t="s">
        <v>273</v>
      </c>
      <c r="E30" s="376"/>
      <c r="F30" s="376"/>
      <c r="G30" s="376"/>
      <c r="H30" s="376"/>
      <c r="I30" s="376"/>
      <c r="J30" s="376"/>
      <c r="K30" s="376"/>
      <c r="L30" s="376"/>
      <c r="M30" s="376"/>
      <c r="N30" s="376"/>
    </row>
    <row r="31" spans="2:14" x14ac:dyDescent="0.3">
      <c r="B31" s="374"/>
      <c r="C31" s="375" t="s">
        <v>272</v>
      </c>
      <c r="D31" s="376"/>
      <c r="E31" s="376"/>
      <c r="F31" s="376"/>
      <c r="G31" s="376"/>
      <c r="H31" s="376"/>
      <c r="I31" s="376"/>
      <c r="J31" s="376"/>
      <c r="K31" s="376"/>
      <c r="L31" s="376"/>
      <c r="M31" s="376"/>
      <c r="N31" s="376"/>
    </row>
    <row r="32" spans="2:14" x14ac:dyDescent="0.3"/>
    <row r="33" spans="2:15" x14ac:dyDescent="0.3"/>
    <row r="34" spans="2:15" x14ac:dyDescent="0.3">
      <c r="B34" s="244" t="s">
        <v>271</v>
      </c>
    </row>
    <row r="35" spans="2:15" ht="30.75" customHeight="1" x14ac:dyDescent="0.3">
      <c r="B35" s="377" t="s">
        <v>270</v>
      </c>
      <c r="C35" s="377"/>
      <c r="D35" s="377"/>
      <c r="E35" s="377"/>
      <c r="F35" s="377"/>
      <c r="G35" s="377"/>
      <c r="H35" s="377"/>
      <c r="I35" s="377"/>
      <c r="J35" s="377"/>
      <c r="K35" s="377"/>
      <c r="L35" s="377"/>
      <c r="M35" s="377"/>
      <c r="N35" s="377"/>
    </row>
    <row r="36" spans="2:15" x14ac:dyDescent="0.3">
      <c r="B36" s="242" t="s">
        <v>269</v>
      </c>
    </row>
    <row r="37" spans="2:15" x14ac:dyDescent="0.3">
      <c r="B37" s="243" t="s">
        <v>268</v>
      </c>
      <c r="C37" s="378" t="s">
        <v>327</v>
      </c>
      <c r="D37" s="378"/>
      <c r="E37" s="378"/>
      <c r="F37" s="378"/>
      <c r="G37" s="378"/>
      <c r="H37" s="378"/>
      <c r="I37" s="378"/>
      <c r="J37" s="378"/>
      <c r="K37" s="378"/>
      <c r="L37" s="378"/>
      <c r="M37" s="378"/>
    </row>
    <row r="38" spans="2:15" x14ac:dyDescent="0.3">
      <c r="B38" s="243" t="s">
        <v>267</v>
      </c>
      <c r="C38" s="378" t="s">
        <v>286</v>
      </c>
      <c r="D38" s="378"/>
      <c r="E38" s="378"/>
      <c r="F38" s="378"/>
      <c r="G38" s="378"/>
      <c r="H38" s="378"/>
      <c r="I38" s="378"/>
      <c r="J38" s="378"/>
      <c r="K38" s="378"/>
      <c r="L38" s="378"/>
      <c r="M38" s="378"/>
    </row>
    <row r="39" spans="2:15" x14ac:dyDescent="0.3">
      <c r="B39" s="243" t="s">
        <v>266</v>
      </c>
      <c r="C39" s="389" t="str">
        <f>IFERROR(1-INDEX(NDTEff,FIND(INDEX(NDTEffRatings,MATCH(C37,Typicals,0),MATCH(C38,NDT_Technieken,0)),"ABCDE"),2),"?")</f>
        <v>?</v>
      </c>
      <c r="D39" s="389"/>
      <c r="E39" s="389"/>
      <c r="F39" s="389"/>
      <c r="G39" s="389"/>
      <c r="H39" s="389"/>
      <c r="I39" s="389"/>
      <c r="J39" s="389"/>
      <c r="K39" s="389"/>
      <c r="L39" s="389"/>
      <c r="M39" s="389"/>
      <c r="N39" s="242" t="s">
        <v>265</v>
      </c>
      <c r="O39" s="325"/>
    </row>
    <row r="40" spans="2:15" ht="15.75" x14ac:dyDescent="0.3">
      <c r="B40" s="243" t="s">
        <v>290</v>
      </c>
      <c r="C40" s="381" t="str">
        <f>'Life cycle costing'!D62</f>
        <v>Hoog</v>
      </c>
      <c r="D40" s="382"/>
      <c r="E40" s="383"/>
      <c r="F40" s="384" t="s">
        <v>293</v>
      </c>
      <c r="G40" s="385"/>
      <c r="H40" s="385"/>
      <c r="I40" s="385"/>
      <c r="J40" s="385"/>
      <c r="K40" s="385"/>
      <c r="L40" s="385"/>
      <c r="M40" s="385"/>
      <c r="N40" s="386"/>
    </row>
    <row r="41" spans="2:15" ht="15.75" x14ac:dyDescent="0.3">
      <c r="B41" s="243" t="s">
        <v>295</v>
      </c>
      <c r="C41" s="381" t="str">
        <f>'Life cycle costing'!D63</f>
        <v>Laag</v>
      </c>
      <c r="D41" s="382"/>
      <c r="E41" s="383"/>
      <c r="F41" s="384" t="s">
        <v>294</v>
      </c>
      <c r="G41" s="385"/>
      <c r="H41" s="385"/>
      <c r="I41" s="385"/>
      <c r="J41" s="385"/>
      <c r="K41" s="385"/>
      <c r="L41" s="385"/>
      <c r="M41" s="385"/>
      <c r="N41" s="386"/>
    </row>
    <row r="42" spans="2:15" x14ac:dyDescent="0.3">
      <c r="B42" s="243" t="s">
        <v>264</v>
      </c>
      <c r="C42" s="380">
        <v>0.4</v>
      </c>
      <c r="D42" s="378"/>
      <c r="E42" s="378"/>
      <c r="F42" s="378"/>
      <c r="G42" s="378"/>
      <c r="H42" s="378"/>
      <c r="I42" s="378"/>
      <c r="J42" s="378"/>
      <c r="K42" s="378"/>
      <c r="L42" s="378"/>
      <c r="M42" s="378"/>
      <c r="N42" s="330" t="str">
        <f>IFERROR(IF(C42&gt;=INDEX(NDTEff,FIND(INDEX(C14:M19,MATCH(C37,B14:B19,0),MATCH(C38,P2:P12,0)),"ABCDE"),3),"&gt;&gt;  OK","&gt;&gt;  Dekking te laag"),"?")</f>
        <v>?</v>
      </c>
    </row>
    <row r="43" spans="2:15" x14ac:dyDescent="0.3">
      <c r="B43" s="331" t="s">
        <v>326</v>
      </c>
      <c r="C43" s="379"/>
      <c r="D43" s="379"/>
      <c r="E43" s="379"/>
      <c r="F43" s="379"/>
      <c r="G43" s="379"/>
      <c r="H43" s="379"/>
      <c r="I43" s="379"/>
      <c r="J43" s="379"/>
      <c r="K43" s="379"/>
      <c r="L43" s="379"/>
      <c r="M43" s="379"/>
      <c r="N43" s="242" t="s">
        <v>263</v>
      </c>
    </row>
    <row r="44" spans="2:15" ht="15.75" thickBot="1" x14ac:dyDescent="0.35"/>
    <row r="45" spans="2:15" x14ac:dyDescent="0.3">
      <c r="D45" s="241" t="s">
        <v>262</v>
      </c>
      <c r="E45" s="240"/>
      <c r="F45" s="239"/>
    </row>
    <row r="46" spans="2:15" ht="15.75" thickBot="1" x14ac:dyDescent="0.35">
      <c r="D46" s="238" t="s">
        <v>261</v>
      </c>
      <c r="E46" s="237" t="s">
        <v>260</v>
      </c>
      <c r="F46" s="231" t="s">
        <v>259</v>
      </c>
    </row>
    <row r="47" spans="2:15" x14ac:dyDescent="0.3">
      <c r="D47" s="236" t="s">
        <v>258</v>
      </c>
      <c r="E47" s="235">
        <v>0.99</v>
      </c>
      <c r="F47" s="234">
        <v>1</v>
      </c>
    </row>
    <row r="48" spans="2:15" x14ac:dyDescent="0.3">
      <c r="D48" s="236" t="s">
        <v>257</v>
      </c>
      <c r="E48" s="235">
        <v>0.9</v>
      </c>
      <c r="F48" s="234">
        <v>0.65</v>
      </c>
    </row>
    <row r="49" spans="4:6" x14ac:dyDescent="0.3">
      <c r="D49" s="236" t="s">
        <v>256</v>
      </c>
      <c r="E49" s="235">
        <v>0.7</v>
      </c>
      <c r="F49" s="234">
        <v>0.35</v>
      </c>
    </row>
    <row r="50" spans="4:6" x14ac:dyDescent="0.3">
      <c r="D50" s="236" t="s">
        <v>255</v>
      </c>
      <c r="E50" s="235">
        <v>0.3</v>
      </c>
      <c r="F50" s="234">
        <v>0.05</v>
      </c>
    </row>
    <row r="51" spans="4:6" ht="15.75" thickBot="1" x14ac:dyDescent="0.35">
      <c r="D51" s="233" t="s">
        <v>254</v>
      </c>
      <c r="E51" s="232">
        <v>0</v>
      </c>
      <c r="F51" s="231"/>
    </row>
    <row r="52" spans="4:6" x14ac:dyDescent="0.3"/>
  </sheetData>
  <mergeCells count="25">
    <mergeCell ref="C1:M1"/>
    <mergeCell ref="B3:B12"/>
    <mergeCell ref="C20:M20"/>
    <mergeCell ref="L22:N22"/>
    <mergeCell ref="K23:N23"/>
    <mergeCell ref="M21:N21"/>
    <mergeCell ref="C43:M43"/>
    <mergeCell ref="C42:M42"/>
    <mergeCell ref="C40:E40"/>
    <mergeCell ref="F40:N40"/>
    <mergeCell ref="J24:N24"/>
    <mergeCell ref="I25:N25"/>
    <mergeCell ref="H26:N26"/>
    <mergeCell ref="G27:N27"/>
    <mergeCell ref="F28:N28"/>
    <mergeCell ref="E29:N29"/>
    <mergeCell ref="C41:E41"/>
    <mergeCell ref="F41:N41"/>
    <mergeCell ref="C39:M39"/>
    <mergeCell ref="B26:B31"/>
    <mergeCell ref="C31:N31"/>
    <mergeCell ref="B35:N35"/>
    <mergeCell ref="C37:M37"/>
    <mergeCell ref="C38:M38"/>
    <mergeCell ref="D30:N30"/>
  </mergeCells>
  <conditionalFormatting sqref="N42">
    <cfRule type="containsText" dxfId="14" priority="2" operator="containsText" text="OK">
      <formula>NOT(ISERROR(SEARCH("OK",N42)))</formula>
    </cfRule>
    <cfRule type="containsText" dxfId="13" priority="3" operator="containsText" text="te laag">
      <formula>NOT(ISERROR(SEARCH("te laag",N42)))</formula>
    </cfRule>
  </conditionalFormatting>
  <conditionalFormatting sqref="C14:M19">
    <cfRule type="cellIs" dxfId="12" priority="1" operator="equal">
      <formula>"?"</formula>
    </cfRule>
  </conditionalFormatting>
  <dataValidations disablePrompts="1" xWindow="835" yWindow="272" count="12">
    <dataValidation allowBlank="1" showInputMessage="1" showErrorMessage="1" promptTitle="Effectiviteits klasse" prompt="De effectiviteitsklasse, analoog aan de opzet vanuit de API 581." sqref="D46"/>
    <dataValidation allowBlank="1" showInputMessage="1" showErrorMessage="1" promptTitle="Reductie factor:" prompt="De mate van reductie van het risico, wanneer de toegepaste techniek met de aangegeven effectiviteitsklasse is gehanteerd, uitgaande van een dekking van hotspots die overeenkomt met het percentage uit de volgende kolom." sqref="E46"/>
    <dataValidation allowBlank="1" showInputMessage="1" showErrorMessage="1" promptTitle="Dekking:" prompt="Het percentage van de &quot;hot spots&quot;/ risicoplaatsen, wat door middel van NDO is onderzocht." sqref="F46"/>
    <dataValidation allowBlank="1" showInputMessage="1" showErrorMessage="1" promptTitle="Reductie factor:" prompt="De factor waarmee het risico wordt beperkt._x000a_Een factor 1 (cq 100%) betekent géén reductie._x000a_Een factor 0,01 (1%) betekent een factor 100 reductie._x000a_Dat is wél afhankelijk van de toegepaste dekking, daarom wordt die in de volgende stap gecontroleerd." sqref="C39:M39"/>
    <dataValidation type="list" errorStyle="warning" allowBlank="1" showInputMessage="1" showErrorMessage="1" sqref="C37:M37">
      <formula1>Typicals</formula1>
    </dataValidation>
    <dataValidation type="list" allowBlank="1" showInputMessage="1" showErrorMessage="1" sqref="C38:M38">
      <formula1>NDT_Technieken</formula1>
    </dataValidation>
    <dataValidation type="list" allowBlank="1" showInputMessage="1" showErrorMessage="1" promptTitle="Onderzoeks percentage." prompt="Het percentage van &quot;hotspots&quot;cq verdachte locaties wat is onderzocht." sqref="C42:M42">
      <formula1>"10%,20%,25%,30%,35%,40%,50%,65%,80%,100%"</formula1>
    </dataValidation>
    <dataValidation type="list" allowBlank="1" showInputMessage="1" showErrorMessage="1" promptTitle="Gevoeligheid:" prompt="De mate waarmee veranderingen in het onderzochte object in beeld gebracht kunnen worden._x000a_Er worden drie niveau's onderkend: Laag / Midden / Hoog" sqref="C40:E40">
      <formula1>"Laag,Midden,Hoog"</formula1>
    </dataValidation>
    <dataValidation type="list" allowBlank="1" showInputMessage="1" showErrorMessage="1" promptTitle="Bereikbaarheid:" prompt="Het gemak waarmee de techniek op de betreffende plaats toegepast kan worden._x000a_Er worden drie niveau's onderkend: Laag / Midden / Hoog._x000a_Dit heeft met name betrekking op de kosten; NIET zozeer op de effectiviteit." sqref="C41:E41">
      <formula1>"Laag,Midden,Hoog"</formula1>
    </dataValidation>
    <dataValidation allowBlank="1" showInputMessage="1" showErrorMessage="1" promptTitle="De effectiviteit van de techniek" prompt="Het gaat hierbij om de effectiviteit van de techniek om SCHADE te detecteren._x000a_Dit is natuurlijk wat anders als de effectiviteit om VOCHT te detecteren._x000a__x000a_De focus ligt dus vooral op de GEVOLGEN van corrosie._x000a__x000a_P.s.: ivm formules moet iedere cel gevuld zijn." sqref="C13:M13"/>
    <dataValidation allowBlank="1" showInputMessage="1" showErrorMessage="1" promptTitle="Kans of &quot;false call&quot;:" prompt="De kans op het vinden van een afwijking cq schade, die bij nader onderzoek géén schade blijkt te zijn (de zogenaamde &quot;False call&quot;)._x000a_Dit is inefficiency aangezien dit niet bijdraagt aan het beoogde resultaat." sqref="C43:M43"/>
    <dataValidation type="list" showInputMessage="1" showErrorMessage="1" errorTitle="Nota bene" error="Er kunnen geen andere waarden worden toegevoegd om te vermijden dat het resultaat niet toepasbaar is." promptTitle="De mate van faalkans reductie" prompt="De mate van faalkans reductie die met de gegeven techniek te behalen is._x000a_De letter is een maat voor de effectiviteit, analoog aan API 581:_x000a_A= Highly Effective_x000a_B= Usually   ,,_x000a_C= Fairly      ,,_x000a_D= Poorly    ,,_x000a_E= Ineffective_x000a_?= Unknown (To be determined)" sqref="C14:M19">
      <formula1>"A,B,C,D,E,?"</formula1>
    </dataValidation>
  </dataValidations>
  <pageMargins left="0.7" right="0.7" top="0.75" bottom="0.75" header="0.3" footer="0.3"/>
  <pageSetup paperSize="9" orientation="portrait" horizontalDpi="4294967295" verticalDpi="4294967295"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1" tint="0.34998626667073579"/>
  </sheetPr>
  <dimension ref="A1:G14"/>
  <sheetViews>
    <sheetView showRowColHeaders="0" workbookViewId="0">
      <selection activeCell="G8" sqref="G8"/>
    </sheetView>
  </sheetViews>
  <sheetFormatPr defaultColWidth="0" defaultRowHeight="15" zeroHeight="1" x14ac:dyDescent="0.25"/>
  <cols>
    <col min="1" max="1" width="15.85546875" customWidth="1"/>
    <col min="2" max="2" width="9.85546875" customWidth="1"/>
    <col min="3" max="3" width="20.7109375" customWidth="1"/>
    <col min="4" max="4" width="24.42578125" customWidth="1"/>
    <col min="5" max="5" width="26.28515625" customWidth="1"/>
    <col min="6" max="6" width="19" customWidth="1"/>
    <col min="7" max="7" width="7.85546875" customWidth="1"/>
    <col min="8" max="16384" width="9.140625" hidden="1"/>
  </cols>
  <sheetData>
    <row r="1" spans="1:7" ht="60.75" thickBot="1" x14ac:dyDescent="0.35">
      <c r="A1" s="60"/>
      <c r="B1" s="60"/>
      <c r="C1" s="60"/>
      <c r="D1" s="60"/>
      <c r="E1" s="60"/>
      <c r="F1" s="60"/>
      <c r="G1" s="411" t="s">
        <v>372</v>
      </c>
    </row>
    <row r="2" spans="1:7" ht="15.75" x14ac:dyDescent="0.3">
      <c r="A2" s="60"/>
      <c r="B2" s="63"/>
      <c r="C2" s="64"/>
      <c r="D2" s="64"/>
      <c r="E2" s="64"/>
      <c r="F2" s="64"/>
      <c r="G2" s="65"/>
    </row>
    <row r="3" spans="1:7" ht="16.5" thickBot="1" x14ac:dyDescent="0.35">
      <c r="A3" s="60"/>
      <c r="B3" s="67"/>
      <c r="C3" s="68"/>
      <c r="D3" s="68"/>
      <c r="E3" s="68"/>
      <c r="F3" s="68"/>
      <c r="G3" s="69" t="s">
        <v>246</v>
      </c>
    </row>
    <row r="4" spans="1:7" ht="27.75" x14ac:dyDescent="0.45">
      <c r="A4" s="60"/>
      <c r="B4" s="70"/>
      <c r="C4" s="71" t="s">
        <v>148</v>
      </c>
      <c r="D4" s="72"/>
      <c r="E4" s="72"/>
      <c r="F4" s="72"/>
      <c r="G4" s="70"/>
    </row>
    <row r="5" spans="1:7" ht="15.75" x14ac:dyDescent="0.3">
      <c r="A5" s="60"/>
      <c r="B5" s="70"/>
      <c r="C5" s="73" t="s">
        <v>149</v>
      </c>
      <c r="D5" s="74" t="s">
        <v>150</v>
      </c>
      <c r="E5" s="74"/>
      <c r="F5" s="72"/>
      <c r="G5" s="70"/>
    </row>
    <row r="6" spans="1:7" ht="15.75" x14ac:dyDescent="0.3">
      <c r="A6" s="60"/>
      <c r="B6" s="70"/>
      <c r="C6" s="197" t="s">
        <v>247</v>
      </c>
      <c r="D6" s="74"/>
      <c r="E6" s="74"/>
      <c r="F6" s="72"/>
      <c r="G6" s="70"/>
    </row>
    <row r="7" spans="1:7" ht="15.75" x14ac:dyDescent="0.3">
      <c r="A7" s="60"/>
      <c r="B7" s="70"/>
      <c r="C7" s="197" t="s">
        <v>248</v>
      </c>
      <c r="D7" s="74"/>
      <c r="E7" s="74"/>
      <c r="F7" s="72"/>
      <c r="G7" s="70"/>
    </row>
    <row r="8" spans="1:7" ht="15.75" x14ac:dyDescent="0.3">
      <c r="A8" s="60"/>
      <c r="B8" s="70"/>
      <c r="C8" s="197" t="s">
        <v>249</v>
      </c>
      <c r="D8" s="74"/>
      <c r="E8" s="74"/>
      <c r="F8" s="72"/>
      <c r="G8" s="70"/>
    </row>
    <row r="9" spans="1:7" ht="15.75" x14ac:dyDescent="0.3">
      <c r="A9" s="60"/>
      <c r="B9" s="70"/>
      <c r="C9" s="197" t="s">
        <v>251</v>
      </c>
      <c r="D9" s="72"/>
      <c r="E9" s="72"/>
      <c r="F9" s="72"/>
      <c r="G9" s="70"/>
    </row>
    <row r="10" spans="1:7" ht="15.75" x14ac:dyDescent="0.3">
      <c r="A10" s="60"/>
      <c r="B10" s="70"/>
      <c r="C10" s="197" t="s">
        <v>252</v>
      </c>
      <c r="D10" s="72"/>
      <c r="E10" s="72"/>
      <c r="F10" s="72"/>
      <c r="G10" s="70"/>
    </row>
    <row r="11" spans="1:7" ht="16.5" thickBot="1" x14ac:dyDescent="0.35">
      <c r="A11" s="60"/>
      <c r="B11" s="70"/>
      <c r="C11" s="82"/>
      <c r="D11" s="83"/>
      <c r="E11" s="83"/>
      <c r="F11" s="73" t="s">
        <v>250</v>
      </c>
      <c r="G11" s="70"/>
    </row>
    <row r="12" spans="1:7" ht="15.75" x14ac:dyDescent="0.3">
      <c r="A12" s="60"/>
      <c r="B12" s="67"/>
      <c r="C12" s="64"/>
      <c r="D12" s="64"/>
      <c r="E12" s="64"/>
      <c r="F12" s="64"/>
      <c r="G12" s="84"/>
    </row>
    <row r="13" spans="1:7" ht="16.5" thickBot="1" x14ac:dyDescent="0.35">
      <c r="A13" s="60"/>
      <c r="B13" s="85"/>
      <c r="C13" s="68"/>
      <c r="D13" s="68"/>
      <c r="E13" s="68"/>
      <c r="F13" s="68"/>
      <c r="G13" s="86"/>
    </row>
    <row r="14" spans="1:7" ht="16.5" hidden="1" thickBot="1" x14ac:dyDescent="0.35">
      <c r="A14" s="60"/>
      <c r="B14" s="85"/>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6E6E6"/>
    <pageSetUpPr fitToPage="1"/>
  </sheetPr>
  <dimension ref="A1:AG60"/>
  <sheetViews>
    <sheetView topLeftCell="A4" zoomScaleNormal="100" workbookViewId="0">
      <selection activeCell="D15" sqref="D15"/>
    </sheetView>
  </sheetViews>
  <sheetFormatPr defaultColWidth="0" defaultRowHeight="12.75" zeroHeight="1" x14ac:dyDescent="0.2"/>
  <cols>
    <col min="1" max="1" width="1.42578125" style="91" customWidth="1"/>
    <col min="2" max="2" width="5.85546875" style="91" customWidth="1"/>
    <col min="3" max="3" width="29.28515625" style="91" customWidth="1"/>
    <col min="4" max="4" width="10.5703125" style="91" customWidth="1"/>
    <col min="5" max="5" width="10" style="91" customWidth="1"/>
    <col min="6" max="6" width="9.28515625" style="91" customWidth="1"/>
    <col min="7" max="7" width="2.140625" style="91" customWidth="1"/>
    <col min="8" max="8" width="6.28515625" style="91" customWidth="1"/>
    <col min="9" max="9" width="27.7109375" style="91" customWidth="1"/>
    <col min="10" max="10" width="9.28515625" style="91" customWidth="1"/>
    <col min="11" max="13" width="6.28515625" style="91" customWidth="1"/>
    <col min="14" max="33" width="6.28515625" style="91" hidden="1" customWidth="1"/>
    <col min="34" max="16384" width="9.140625" style="91" hidden="1"/>
  </cols>
  <sheetData>
    <row r="1" spans="1:13" ht="18.75" x14ac:dyDescent="0.2">
      <c r="A1" s="93"/>
      <c r="B1" s="397" t="s">
        <v>253</v>
      </c>
      <c r="C1" s="398"/>
      <c r="D1" s="398"/>
      <c r="E1" s="398"/>
      <c r="F1" s="398"/>
      <c r="G1" s="398"/>
      <c r="H1" s="398"/>
      <c r="I1" s="398"/>
      <c r="J1" s="398"/>
      <c r="K1" s="398"/>
      <c r="L1" s="398"/>
      <c r="M1" s="93"/>
    </row>
    <row r="2" spans="1:13" x14ac:dyDescent="0.2">
      <c r="A2" s="93"/>
      <c r="B2" s="399" t="s">
        <v>226</v>
      </c>
      <c r="C2" s="399"/>
      <c r="D2" s="399"/>
      <c r="E2" s="399"/>
      <c r="F2" s="399"/>
      <c r="G2" s="400"/>
      <c r="H2" s="400"/>
      <c r="I2" s="400"/>
      <c r="J2" s="400"/>
      <c r="K2" s="400"/>
      <c r="L2" s="400"/>
      <c r="M2" s="93"/>
    </row>
    <row r="3" spans="1:13" x14ac:dyDescent="0.2">
      <c r="A3" s="93"/>
      <c r="B3" s="93"/>
      <c r="C3" s="93"/>
      <c r="D3" s="93"/>
      <c r="E3" s="133"/>
      <c r="F3" s="133"/>
      <c r="G3" s="133"/>
      <c r="H3" s="133"/>
      <c r="I3" s="133"/>
      <c r="J3" s="93"/>
      <c r="K3" s="93"/>
      <c r="L3" s="93"/>
      <c r="M3" s="93"/>
    </row>
    <row r="4" spans="1:13" x14ac:dyDescent="0.2">
      <c r="A4" s="93"/>
      <c r="B4" s="401" t="s">
        <v>199</v>
      </c>
      <c r="C4" s="402"/>
      <c r="D4" s="402"/>
      <c r="E4" s="402"/>
      <c r="F4" s="403"/>
      <c r="G4" s="93"/>
      <c r="H4" s="401" t="s">
        <v>198</v>
      </c>
      <c r="I4" s="402"/>
      <c r="J4" s="402"/>
      <c r="K4" s="402"/>
      <c r="L4" s="403"/>
      <c r="M4" s="93"/>
    </row>
    <row r="5" spans="1:13" x14ac:dyDescent="0.2">
      <c r="A5" s="93"/>
      <c r="B5" s="144"/>
      <c r="C5" s="143"/>
      <c r="D5" s="143"/>
      <c r="E5" s="143"/>
      <c r="F5" s="142"/>
      <c r="G5" s="93"/>
      <c r="H5" s="144"/>
      <c r="I5" s="143"/>
      <c r="J5" s="132"/>
      <c r="K5" s="132"/>
      <c r="L5" s="142"/>
      <c r="M5" s="93"/>
    </row>
    <row r="6" spans="1:13" ht="15" x14ac:dyDescent="0.3">
      <c r="A6" s="93"/>
      <c r="B6" s="100"/>
      <c r="C6" s="101"/>
      <c r="D6" s="101"/>
      <c r="E6" s="101"/>
      <c r="F6" s="97"/>
      <c r="G6" s="93"/>
      <c r="H6" s="100"/>
      <c r="I6" s="116" t="s">
        <v>225</v>
      </c>
      <c r="J6" s="141">
        <f>D8*D9</f>
        <v>32</v>
      </c>
      <c r="K6" s="140" t="s">
        <v>224</v>
      </c>
      <c r="L6" s="120" t="s">
        <v>223</v>
      </c>
      <c r="M6" s="93"/>
    </row>
    <row r="7" spans="1:13" x14ac:dyDescent="0.2">
      <c r="A7" s="93"/>
      <c r="B7" s="100"/>
      <c r="C7" s="118" t="s">
        <v>222</v>
      </c>
      <c r="D7" s="280">
        <f>'Life cycle costing'!D71</f>
        <v>30</v>
      </c>
      <c r="E7" s="121" t="s">
        <v>187</v>
      </c>
      <c r="F7" s="139" t="s">
        <v>221</v>
      </c>
      <c r="G7" s="93"/>
      <c r="H7" s="100"/>
      <c r="I7" s="98"/>
      <c r="J7" s="98"/>
      <c r="K7" s="98"/>
      <c r="L7" s="97"/>
      <c r="M7" s="93"/>
    </row>
    <row r="8" spans="1:13" x14ac:dyDescent="0.2">
      <c r="A8" s="93"/>
      <c r="B8" s="100"/>
      <c r="C8" s="118" t="s">
        <v>188</v>
      </c>
      <c r="D8" s="280">
        <f>'Life cycle costing'!D72</f>
        <v>16</v>
      </c>
      <c r="E8" s="121" t="s">
        <v>187</v>
      </c>
      <c r="F8" s="139" t="s">
        <v>196</v>
      </c>
      <c r="G8" s="93"/>
      <c r="H8" s="119" t="s">
        <v>190</v>
      </c>
      <c r="I8" s="118" t="s">
        <v>189</v>
      </c>
      <c r="J8" s="117">
        <f>INDEX('Source SCAFF 2004'!$B$5:$AK$34,'Input and Output'!$D$7,'Input and Output'!$J$6)</f>
        <v>7035.428571428577</v>
      </c>
      <c r="K8" s="116" t="s">
        <v>183</v>
      </c>
      <c r="L8" s="120" t="s">
        <v>220</v>
      </c>
      <c r="M8" s="93"/>
    </row>
    <row r="9" spans="1:13" x14ac:dyDescent="0.2">
      <c r="A9" s="93"/>
      <c r="B9" s="100"/>
      <c r="C9" s="118" t="s">
        <v>219</v>
      </c>
      <c r="D9" s="280">
        <f>'Life cycle costing'!D73</f>
        <v>2</v>
      </c>
      <c r="E9" s="121" t="s">
        <v>187</v>
      </c>
      <c r="F9" s="139" t="s">
        <v>196</v>
      </c>
      <c r="G9" s="93"/>
      <c r="H9" s="119" t="s">
        <v>185</v>
      </c>
      <c r="I9" s="118" t="s">
        <v>218</v>
      </c>
      <c r="J9" s="117" t="str">
        <f>IF(D10&gt;2,SUM(INDEX('Source SCAFF 2004'!$B$5:$AK$34,'Input and Output'!$D$7,'Input and Output'!$J$6),(('Input and Output'!$D$10-2)*(INDEX('Source SCAFF 2004'!$B$40:$AK$69,'Input and Output'!$D$7,'Input and Output'!$J$6)))),"")</f>
        <v/>
      </c>
      <c r="K9" s="116" t="s">
        <v>183</v>
      </c>
      <c r="L9" s="120" t="s">
        <v>217</v>
      </c>
      <c r="M9" s="93"/>
    </row>
    <row r="10" spans="1:13" x14ac:dyDescent="0.2">
      <c r="A10" s="93"/>
      <c r="B10" s="100"/>
      <c r="C10" s="107" t="s">
        <v>216</v>
      </c>
      <c r="D10" s="279">
        <f>'Life cycle costing'!D74</f>
        <v>2</v>
      </c>
      <c r="E10" s="121" t="s">
        <v>215</v>
      </c>
      <c r="F10" s="139" t="s">
        <v>214</v>
      </c>
      <c r="G10" s="93"/>
      <c r="H10" s="119" t="s">
        <v>213</v>
      </c>
      <c r="I10" s="118" t="s">
        <v>184</v>
      </c>
      <c r="J10" s="117">
        <f ca="1">IF(D10&gt;2,(((1+D14/100)^(D13-D15))*J9),(((1+D14/100)^(D13-D15))*J8))</f>
        <v>16125.331159295052</v>
      </c>
      <c r="K10" s="116" t="s">
        <v>183</v>
      </c>
      <c r="L10" s="138"/>
      <c r="M10" s="93"/>
    </row>
    <row r="11" spans="1:13" x14ac:dyDescent="0.2">
      <c r="A11" s="93"/>
      <c r="B11" s="100"/>
      <c r="C11" s="118"/>
      <c r="D11" s="98"/>
      <c r="E11" s="98"/>
      <c r="F11" s="97"/>
      <c r="G11" s="93"/>
      <c r="H11" s="100"/>
      <c r="I11" s="98"/>
      <c r="J11" s="98"/>
      <c r="K11" s="98"/>
      <c r="L11" s="97"/>
      <c r="M11" s="93"/>
    </row>
    <row r="12" spans="1:13" x14ac:dyDescent="0.2">
      <c r="A12" s="93"/>
      <c r="B12" s="100"/>
      <c r="C12" s="118"/>
      <c r="D12" s="98"/>
      <c r="E12" s="98"/>
      <c r="F12" s="97"/>
      <c r="G12" s="93"/>
      <c r="H12" s="100"/>
      <c r="I12" s="98"/>
      <c r="J12" s="98"/>
      <c r="K12" s="98"/>
      <c r="L12" s="97"/>
      <c r="M12" s="93"/>
    </row>
    <row r="13" spans="1:13" x14ac:dyDescent="0.2">
      <c r="A13" s="93"/>
      <c r="B13" s="100"/>
      <c r="C13" s="118" t="s">
        <v>212</v>
      </c>
      <c r="D13" s="281">
        <f ca="1">YEAR(NOW())</f>
        <v>2021</v>
      </c>
      <c r="E13" s="98"/>
      <c r="F13" s="97"/>
      <c r="G13" s="137"/>
      <c r="H13" s="100"/>
      <c r="I13" s="98"/>
      <c r="J13" s="135"/>
      <c r="K13" s="98"/>
      <c r="L13" s="123"/>
      <c r="M13" s="93"/>
    </row>
    <row r="14" spans="1:13" x14ac:dyDescent="0.2">
      <c r="A14" s="93"/>
      <c r="B14" s="100"/>
      <c r="C14" s="118" t="s">
        <v>211</v>
      </c>
      <c r="D14" s="106">
        <v>5</v>
      </c>
      <c r="E14" s="105" t="s">
        <v>177</v>
      </c>
      <c r="F14" s="97"/>
      <c r="G14" s="136"/>
      <c r="H14" s="100"/>
      <c r="I14" s="98"/>
      <c r="J14" s="135"/>
      <c r="K14" s="98"/>
      <c r="L14" s="123"/>
      <c r="M14" s="93"/>
    </row>
    <row r="15" spans="1:13" x14ac:dyDescent="0.2">
      <c r="A15" s="93"/>
      <c r="B15" s="100"/>
      <c r="C15" s="118" t="s">
        <v>210</v>
      </c>
      <c r="D15" s="102">
        <v>2004</v>
      </c>
      <c r="E15" s="98"/>
      <c r="F15" s="97"/>
      <c r="G15" s="93"/>
      <c r="H15" s="100"/>
      <c r="I15" s="98"/>
      <c r="J15" s="98"/>
      <c r="K15" s="98"/>
      <c r="L15" s="123"/>
      <c r="M15" s="93"/>
    </row>
    <row r="16" spans="1:13" x14ac:dyDescent="0.2">
      <c r="A16" s="93"/>
      <c r="B16" s="100"/>
      <c r="C16" s="98"/>
      <c r="D16" s="98"/>
      <c r="E16" s="98"/>
      <c r="F16" s="97"/>
      <c r="G16" s="93"/>
      <c r="H16" s="100"/>
      <c r="I16" s="98"/>
      <c r="J16" s="135"/>
      <c r="K16" s="98"/>
      <c r="L16" s="123"/>
      <c r="M16" s="93"/>
    </row>
    <row r="17" spans="1:13" ht="15" x14ac:dyDescent="0.3">
      <c r="A17" s="93"/>
      <c r="B17" s="99" t="s">
        <v>209</v>
      </c>
      <c r="C17" s="98"/>
      <c r="D17" s="98"/>
      <c r="E17" s="98"/>
      <c r="F17" s="97"/>
      <c r="G17" s="93"/>
      <c r="H17" s="134" t="s">
        <v>208</v>
      </c>
      <c r="I17" s="98"/>
      <c r="J17" s="98"/>
      <c r="K17" s="98"/>
      <c r="L17" s="97"/>
      <c r="M17" s="93"/>
    </row>
    <row r="18" spans="1:13" x14ac:dyDescent="0.2">
      <c r="A18" s="93"/>
      <c r="B18" s="99" t="s">
        <v>207</v>
      </c>
      <c r="C18" s="98"/>
      <c r="D18" s="98"/>
      <c r="E18" s="98"/>
      <c r="F18" s="97"/>
      <c r="G18" s="93"/>
      <c r="H18" s="99" t="s">
        <v>206</v>
      </c>
      <c r="I18" s="98"/>
      <c r="J18" s="98"/>
      <c r="K18" s="98"/>
      <c r="L18" s="97"/>
      <c r="M18" s="93"/>
    </row>
    <row r="19" spans="1:13" x14ac:dyDescent="0.2">
      <c r="A19" s="93"/>
      <c r="B19" s="99" t="s">
        <v>205</v>
      </c>
      <c r="C19" s="98"/>
      <c r="D19" s="98"/>
      <c r="E19" s="98"/>
      <c r="F19" s="97"/>
      <c r="G19" s="93"/>
      <c r="H19" s="99" t="s">
        <v>204</v>
      </c>
      <c r="I19" s="98"/>
      <c r="J19" s="98"/>
      <c r="K19" s="98"/>
      <c r="L19" s="97"/>
      <c r="M19" s="93"/>
    </row>
    <row r="20" spans="1:13" x14ac:dyDescent="0.2">
      <c r="A20" s="93"/>
      <c r="B20" s="99" t="s">
        <v>203</v>
      </c>
      <c r="C20" s="98"/>
      <c r="D20" s="98"/>
      <c r="E20" s="98"/>
      <c r="F20" s="97"/>
      <c r="G20" s="93"/>
      <c r="H20" s="99"/>
      <c r="I20" s="98"/>
      <c r="J20" s="98"/>
      <c r="K20" s="98"/>
      <c r="L20" s="97"/>
      <c r="M20" s="93"/>
    </row>
    <row r="21" spans="1:13" x14ac:dyDescent="0.2">
      <c r="A21" s="93"/>
      <c r="B21" s="99" t="s">
        <v>202</v>
      </c>
      <c r="C21" s="98"/>
      <c r="D21" s="98"/>
      <c r="E21" s="98"/>
      <c r="F21" s="97"/>
      <c r="G21" s="93"/>
      <c r="H21" s="99"/>
      <c r="I21" s="98"/>
      <c r="J21" s="98"/>
      <c r="K21" s="98"/>
      <c r="L21" s="97"/>
      <c r="M21" s="93"/>
    </row>
    <row r="22" spans="1:13" x14ac:dyDescent="0.2">
      <c r="A22" s="93"/>
      <c r="B22" s="96" t="s">
        <v>201</v>
      </c>
      <c r="C22" s="95"/>
      <c r="D22" s="95"/>
      <c r="E22" s="95"/>
      <c r="F22" s="94"/>
      <c r="G22" s="93"/>
      <c r="H22" s="96"/>
      <c r="I22" s="95"/>
      <c r="J22" s="95"/>
      <c r="K22" s="95"/>
      <c r="L22" s="94"/>
      <c r="M22" s="93"/>
    </row>
    <row r="23" spans="1:13" x14ac:dyDescent="0.2">
      <c r="A23" s="93"/>
      <c r="B23" s="93"/>
      <c r="C23" s="93"/>
      <c r="D23" s="93"/>
      <c r="E23" s="93"/>
      <c r="F23" s="93"/>
      <c r="G23" s="93"/>
      <c r="H23" s="93"/>
      <c r="I23" s="93"/>
      <c r="J23" s="93"/>
      <c r="K23" s="93"/>
      <c r="L23" s="93"/>
      <c r="M23" s="93"/>
    </row>
    <row r="24" spans="1:13" x14ac:dyDescent="0.2">
      <c r="A24" s="93"/>
      <c r="B24" s="93"/>
      <c r="C24" s="93"/>
      <c r="D24" s="93"/>
      <c r="E24" s="93"/>
      <c r="F24" s="93"/>
      <c r="G24" s="93"/>
      <c r="H24" s="93"/>
      <c r="I24" s="93"/>
      <c r="J24" s="93"/>
      <c r="K24" s="93"/>
      <c r="L24" s="93"/>
      <c r="M24" s="93"/>
    </row>
    <row r="25" spans="1:13" x14ac:dyDescent="0.2">
      <c r="A25" s="93"/>
      <c r="B25" s="399" t="s">
        <v>200</v>
      </c>
      <c r="C25" s="399"/>
      <c r="D25" s="399"/>
      <c r="E25" s="399"/>
      <c r="F25" s="399"/>
      <c r="G25" s="400"/>
      <c r="H25" s="400"/>
      <c r="I25" s="400"/>
      <c r="J25" s="400"/>
      <c r="K25" s="400"/>
      <c r="L25" s="400"/>
      <c r="M25" s="93"/>
    </row>
    <row r="26" spans="1:13" x14ac:dyDescent="0.2">
      <c r="A26" s="93"/>
      <c r="B26" s="93"/>
      <c r="C26" s="93"/>
      <c r="D26" s="93"/>
      <c r="E26" s="133"/>
      <c r="F26" s="133"/>
      <c r="G26" s="133"/>
      <c r="H26" s="133"/>
      <c r="I26" s="133"/>
      <c r="J26" s="93"/>
      <c r="K26" s="93"/>
      <c r="L26" s="93"/>
      <c r="M26" s="93"/>
    </row>
    <row r="27" spans="1:13" x14ac:dyDescent="0.2">
      <c r="A27" s="93"/>
      <c r="B27" s="404" t="s">
        <v>199</v>
      </c>
      <c r="C27" s="405"/>
      <c r="D27" s="405"/>
      <c r="E27" s="405"/>
      <c r="F27" s="406"/>
      <c r="G27" s="93"/>
      <c r="H27" s="401" t="s">
        <v>198</v>
      </c>
      <c r="I27" s="402"/>
      <c r="J27" s="402"/>
      <c r="K27" s="402"/>
      <c r="L27" s="403"/>
      <c r="M27" s="93"/>
    </row>
    <row r="28" spans="1:13" x14ac:dyDescent="0.2">
      <c r="A28" s="93"/>
      <c r="B28" s="126" t="s">
        <v>197</v>
      </c>
      <c r="C28" s="132"/>
      <c r="D28" s="132"/>
      <c r="E28" s="132"/>
      <c r="F28" s="131"/>
      <c r="G28" s="93"/>
      <c r="H28" s="125" t="s">
        <v>197</v>
      </c>
      <c r="I28" s="98"/>
      <c r="J28" s="98"/>
      <c r="K28" s="98"/>
      <c r="L28" s="128"/>
      <c r="M28" s="93"/>
    </row>
    <row r="29" spans="1:13" x14ac:dyDescent="0.2">
      <c r="A29" s="93"/>
      <c r="B29" s="130"/>
      <c r="C29" s="98" t="s">
        <v>193</v>
      </c>
      <c r="D29" s="129"/>
      <c r="E29" s="129"/>
      <c r="F29" s="128"/>
      <c r="G29" s="93"/>
      <c r="H29" s="100"/>
      <c r="I29" s="98"/>
      <c r="J29" s="98"/>
      <c r="K29" s="98"/>
      <c r="L29" s="97"/>
      <c r="M29" s="93"/>
    </row>
    <row r="30" spans="1:13" x14ac:dyDescent="0.2">
      <c r="A30" s="93"/>
      <c r="B30" s="100"/>
      <c r="C30" s="118" t="s">
        <v>192</v>
      </c>
      <c r="D30" s="124">
        <v>150</v>
      </c>
      <c r="E30" s="98" t="s">
        <v>181</v>
      </c>
      <c r="F30" s="120" t="s">
        <v>196</v>
      </c>
      <c r="G30" s="93"/>
      <c r="H30" s="119" t="s">
        <v>190</v>
      </c>
      <c r="I30" s="118" t="s">
        <v>189</v>
      </c>
      <c r="J30" s="117">
        <f>IF(D31=0,"",(INDEX('Source INSU 2002'!$C$11:$W$35,'Source INSU 2002'!$I$5,'Source INSU 2002'!$I$6))*D31)</f>
        <v>317.64615126309724</v>
      </c>
      <c r="K30" s="116" t="s">
        <v>183</v>
      </c>
      <c r="L30" s="97"/>
      <c r="M30" s="93"/>
    </row>
    <row r="31" spans="1:13" x14ac:dyDescent="0.2">
      <c r="A31" s="93"/>
      <c r="B31" s="100"/>
      <c r="C31" s="118" t="s">
        <v>188</v>
      </c>
      <c r="D31" s="122">
        <v>5</v>
      </c>
      <c r="E31" s="121" t="s">
        <v>187</v>
      </c>
      <c r="F31" s="120" t="s">
        <v>186</v>
      </c>
      <c r="G31" s="93"/>
      <c r="H31" s="119" t="s">
        <v>185</v>
      </c>
      <c r="I31" s="118" t="s">
        <v>184</v>
      </c>
      <c r="J31" s="117">
        <f ca="1">IF(D31=0,"",((1+D39/100)^(D38-D40))*J30)</f>
        <v>802.67600399460332</v>
      </c>
      <c r="K31" s="116" t="s">
        <v>183</v>
      </c>
      <c r="L31" s="120"/>
      <c r="M31" s="93"/>
    </row>
    <row r="32" spans="1:13" x14ac:dyDescent="0.2">
      <c r="A32" s="93"/>
      <c r="B32" s="113"/>
      <c r="C32" s="115" t="s">
        <v>182</v>
      </c>
      <c r="D32" s="283">
        <f>'Life cycle costing'!D79</f>
        <v>40</v>
      </c>
      <c r="E32" s="95" t="s">
        <v>181</v>
      </c>
      <c r="F32" s="114" t="s">
        <v>195</v>
      </c>
      <c r="G32" s="93"/>
      <c r="H32" s="113"/>
      <c r="I32" s="95"/>
      <c r="J32" s="127"/>
      <c r="K32" s="95"/>
      <c r="L32" s="114"/>
      <c r="M32" s="93"/>
    </row>
    <row r="33" spans="1:14" x14ac:dyDescent="0.2">
      <c r="A33" s="93"/>
      <c r="B33" s="126" t="s">
        <v>194</v>
      </c>
      <c r="C33" s="116"/>
      <c r="D33" s="98"/>
      <c r="E33" s="98"/>
      <c r="F33" s="120"/>
      <c r="G33" s="93"/>
      <c r="H33" s="125" t="s">
        <v>194</v>
      </c>
      <c r="I33" s="98"/>
      <c r="J33" s="98"/>
      <c r="K33" s="98"/>
      <c r="L33" s="123"/>
      <c r="M33" s="93"/>
    </row>
    <row r="34" spans="1:14" x14ac:dyDescent="0.2">
      <c r="A34" s="93"/>
      <c r="B34" s="100"/>
      <c r="C34" s="98" t="s">
        <v>193</v>
      </c>
      <c r="D34" s="98"/>
      <c r="E34" s="98"/>
      <c r="F34" s="120"/>
      <c r="G34" s="93"/>
      <c r="H34" s="100"/>
      <c r="I34" s="98"/>
      <c r="J34" s="98"/>
      <c r="K34" s="98"/>
      <c r="L34" s="123"/>
      <c r="M34" s="93"/>
    </row>
    <row r="35" spans="1:14" x14ac:dyDescent="0.2">
      <c r="A35" s="93"/>
      <c r="B35" s="100"/>
      <c r="C35" s="118" t="s">
        <v>192</v>
      </c>
      <c r="D35" s="282">
        <f>D30</f>
        <v>150</v>
      </c>
      <c r="E35" s="98" t="s">
        <v>181</v>
      </c>
      <c r="F35" s="120" t="s">
        <v>191</v>
      </c>
      <c r="G35" s="93"/>
      <c r="H35" s="119" t="s">
        <v>190</v>
      </c>
      <c r="I35" s="118" t="s">
        <v>189</v>
      </c>
      <c r="J35" s="117">
        <f>IF(D36=0,"",(INDEX('Source INSU 2002'!$C$46:$L$64,'Source INSU 2002'!$I$40,'Source INSU 2002'!$I$41))*D36)</f>
        <v>748.73735654872917</v>
      </c>
      <c r="K35" s="116" t="s">
        <v>183</v>
      </c>
      <c r="L35" s="123"/>
      <c r="M35" s="93"/>
      <c r="N35" s="112"/>
    </row>
    <row r="36" spans="1:14" x14ac:dyDescent="0.2">
      <c r="A36" s="93"/>
      <c r="B36" s="100"/>
      <c r="C36" s="118" t="s">
        <v>188</v>
      </c>
      <c r="D36" s="280">
        <f>D31</f>
        <v>5</v>
      </c>
      <c r="E36" s="121" t="s">
        <v>187</v>
      </c>
      <c r="F36" s="120" t="s">
        <v>186</v>
      </c>
      <c r="G36" s="93"/>
      <c r="H36" s="119" t="s">
        <v>185</v>
      </c>
      <c r="I36" s="118" t="s">
        <v>184</v>
      </c>
      <c r="J36" s="117">
        <f ca="1">IF(D36=0,"",((1+D39/100)^(D38-D40))*J35)</f>
        <v>1892.0220094158506</v>
      </c>
      <c r="K36" s="116" t="s">
        <v>183</v>
      </c>
      <c r="L36" s="97"/>
      <c r="M36" s="93"/>
    </row>
    <row r="37" spans="1:14" x14ac:dyDescent="0.2">
      <c r="A37" s="93"/>
      <c r="B37" s="113"/>
      <c r="C37" s="115" t="s">
        <v>182</v>
      </c>
      <c r="D37" s="283">
        <f>D32</f>
        <v>40</v>
      </c>
      <c r="E37" s="95" t="s">
        <v>181</v>
      </c>
      <c r="F37" s="114" t="s">
        <v>180</v>
      </c>
      <c r="G37" s="93"/>
      <c r="H37" s="113"/>
      <c r="I37" s="95"/>
      <c r="J37" s="95"/>
      <c r="K37" s="95"/>
      <c r="L37" s="94"/>
      <c r="M37" s="93"/>
      <c r="N37" s="112"/>
    </row>
    <row r="38" spans="1:14" x14ac:dyDescent="0.2">
      <c r="A38" s="93"/>
      <c r="B38" s="111"/>
      <c r="C38" s="110" t="s">
        <v>179</v>
      </c>
      <c r="D38" s="102">
        <f ca="1">D13</f>
        <v>2021</v>
      </c>
      <c r="E38" s="109"/>
      <c r="F38" s="108"/>
      <c r="G38" s="93"/>
      <c r="H38" s="93"/>
      <c r="I38" s="93"/>
      <c r="J38" s="93"/>
      <c r="K38" s="93"/>
      <c r="L38" s="93"/>
      <c r="M38" s="93"/>
    </row>
    <row r="39" spans="1:14" x14ac:dyDescent="0.2">
      <c r="A39" s="93"/>
      <c r="B39" s="100"/>
      <c r="C39" s="107" t="s">
        <v>178</v>
      </c>
      <c r="D39" s="106">
        <v>5</v>
      </c>
      <c r="E39" s="105" t="s">
        <v>177</v>
      </c>
      <c r="F39" s="104"/>
      <c r="G39" s="93"/>
      <c r="H39" s="93"/>
      <c r="I39" s="93"/>
      <c r="J39" s="93"/>
      <c r="K39" s="93"/>
      <c r="L39" s="93"/>
      <c r="M39" s="93"/>
    </row>
    <row r="40" spans="1:14" x14ac:dyDescent="0.2">
      <c r="A40" s="93"/>
      <c r="B40" s="100"/>
      <c r="C40" s="103" t="s">
        <v>176</v>
      </c>
      <c r="D40" s="102">
        <v>2002</v>
      </c>
      <c r="E40" s="101"/>
      <c r="F40" s="97"/>
      <c r="G40" s="93"/>
      <c r="H40" s="93"/>
      <c r="I40" s="93"/>
      <c r="J40" s="93"/>
      <c r="K40" s="93"/>
      <c r="L40" s="93"/>
      <c r="M40" s="93"/>
    </row>
    <row r="41" spans="1:14" x14ac:dyDescent="0.2">
      <c r="A41" s="93"/>
      <c r="B41" s="100"/>
      <c r="C41" s="98"/>
      <c r="D41" s="98"/>
      <c r="E41" s="98"/>
      <c r="F41" s="97"/>
      <c r="G41" s="93"/>
      <c r="H41" s="93"/>
      <c r="I41" s="93"/>
      <c r="J41" s="93"/>
      <c r="K41" s="93"/>
      <c r="L41" s="93"/>
      <c r="M41" s="93"/>
    </row>
    <row r="42" spans="1:14" x14ac:dyDescent="0.2">
      <c r="A42" s="93"/>
      <c r="B42" s="99" t="s">
        <v>175</v>
      </c>
      <c r="C42" s="98"/>
      <c r="D42" s="98"/>
      <c r="E42" s="98"/>
      <c r="F42" s="97"/>
      <c r="G42" s="93"/>
      <c r="H42" s="93"/>
      <c r="I42" s="93"/>
      <c r="J42" s="93"/>
      <c r="K42" s="93"/>
      <c r="L42" s="93"/>
      <c r="M42" s="93"/>
    </row>
    <row r="43" spans="1:14" x14ac:dyDescent="0.2">
      <c r="A43" s="93"/>
      <c r="B43" s="99" t="s">
        <v>174</v>
      </c>
      <c r="C43" s="98"/>
      <c r="D43" s="98"/>
      <c r="E43" s="98"/>
      <c r="F43" s="97"/>
      <c r="G43" s="93"/>
      <c r="H43" s="93"/>
      <c r="I43" s="93"/>
      <c r="J43" s="93"/>
      <c r="K43" s="93"/>
      <c r="L43" s="93"/>
      <c r="M43" s="93"/>
    </row>
    <row r="44" spans="1:14" x14ac:dyDescent="0.2">
      <c r="A44" s="93"/>
      <c r="B44" s="99" t="s">
        <v>173</v>
      </c>
      <c r="C44" s="98"/>
      <c r="D44" s="98"/>
      <c r="E44" s="98"/>
      <c r="F44" s="97"/>
      <c r="G44" s="93"/>
      <c r="H44" s="93"/>
      <c r="I44" s="93"/>
      <c r="J44" s="93"/>
      <c r="K44" s="93"/>
      <c r="L44" s="93"/>
      <c r="M44" s="93"/>
    </row>
    <row r="45" spans="1:14" x14ac:dyDescent="0.2">
      <c r="A45" s="93"/>
      <c r="B45" s="99" t="s">
        <v>172</v>
      </c>
      <c r="C45" s="98"/>
      <c r="D45" s="98"/>
      <c r="E45" s="98"/>
      <c r="F45" s="97"/>
      <c r="G45" s="93"/>
      <c r="H45" s="93"/>
      <c r="I45" s="93"/>
      <c r="J45" s="93"/>
      <c r="K45" s="93"/>
      <c r="L45" s="93"/>
      <c r="M45" s="93"/>
    </row>
    <row r="46" spans="1:14" x14ac:dyDescent="0.2">
      <c r="A46" s="93"/>
      <c r="B46" s="99" t="s">
        <v>171</v>
      </c>
      <c r="C46" s="98"/>
      <c r="D46" s="98"/>
      <c r="E46" s="98"/>
      <c r="F46" s="97"/>
      <c r="G46" s="93"/>
      <c r="H46" s="93"/>
      <c r="I46" s="93"/>
      <c r="J46" s="93"/>
      <c r="K46" s="93"/>
      <c r="L46" s="93"/>
      <c r="M46" s="93"/>
    </row>
    <row r="47" spans="1:14" x14ac:dyDescent="0.2">
      <c r="A47" s="93"/>
      <c r="B47" s="99" t="s">
        <v>170</v>
      </c>
      <c r="C47" s="98"/>
      <c r="D47" s="98"/>
      <c r="E47" s="98"/>
      <c r="F47" s="97"/>
      <c r="G47" s="93"/>
      <c r="H47" s="93"/>
      <c r="I47" s="93"/>
      <c r="J47" s="93"/>
      <c r="K47" s="93"/>
      <c r="L47" s="93"/>
      <c r="M47" s="93"/>
    </row>
    <row r="48" spans="1:14" x14ac:dyDescent="0.2">
      <c r="A48" s="93"/>
      <c r="B48" s="99" t="s">
        <v>169</v>
      </c>
      <c r="C48" s="98"/>
      <c r="D48" s="98"/>
      <c r="E48" s="98"/>
      <c r="F48" s="97"/>
      <c r="G48" s="93"/>
      <c r="H48" s="93"/>
      <c r="I48" s="93"/>
      <c r="J48" s="93"/>
      <c r="K48" s="93"/>
      <c r="L48" s="93"/>
      <c r="M48" s="93"/>
    </row>
    <row r="49" spans="1:13" x14ac:dyDescent="0.2">
      <c r="A49" s="93"/>
      <c r="B49" s="96" t="s">
        <v>168</v>
      </c>
      <c r="C49" s="95"/>
      <c r="D49" s="95"/>
      <c r="E49" s="95"/>
      <c r="F49" s="94"/>
      <c r="G49" s="93"/>
      <c r="H49" s="93"/>
      <c r="I49" s="93"/>
      <c r="J49" s="93"/>
      <c r="K49" s="93"/>
      <c r="L49" s="93"/>
      <c r="M49" s="93"/>
    </row>
    <row r="50" spans="1:13" x14ac:dyDescent="0.2">
      <c r="A50" s="93"/>
      <c r="B50" s="93"/>
      <c r="C50" s="93"/>
      <c r="D50" s="93"/>
      <c r="E50" s="93"/>
      <c r="F50" s="93"/>
      <c r="G50" s="93"/>
      <c r="H50" s="93"/>
      <c r="I50" s="93"/>
      <c r="J50" s="93"/>
      <c r="K50" s="93"/>
      <c r="L50" s="93"/>
      <c r="M50" s="93"/>
    </row>
    <row r="51" spans="1:13" hidden="1" x14ac:dyDescent="0.2"/>
    <row r="52" spans="1:13" hidden="1" x14ac:dyDescent="0.2"/>
    <row r="53" spans="1:13" hidden="1" x14ac:dyDescent="0.2">
      <c r="B53" s="92"/>
    </row>
    <row r="54" spans="1:13" hidden="1" x14ac:dyDescent="0.2"/>
    <row r="55" spans="1:13" hidden="1" x14ac:dyDescent="0.2"/>
    <row r="56" spans="1:13" hidden="1" x14ac:dyDescent="0.2"/>
    <row r="57" spans="1:13" hidden="1" x14ac:dyDescent="0.2"/>
    <row r="58" spans="1:13" hidden="1" x14ac:dyDescent="0.2"/>
    <row r="59" spans="1:13" hidden="1" x14ac:dyDescent="0.2"/>
    <row r="60" spans="1:13" hidden="1" x14ac:dyDescent="0.2">
      <c r="B60" s="92"/>
    </row>
  </sheetData>
  <sheetProtection selectLockedCells="1"/>
  <mergeCells count="7">
    <mergeCell ref="B1:L1"/>
    <mergeCell ref="B2:L2"/>
    <mergeCell ref="B4:F4"/>
    <mergeCell ref="H4:L4"/>
    <mergeCell ref="B27:F27"/>
    <mergeCell ref="H27:L27"/>
    <mergeCell ref="B25:L25"/>
  </mergeCells>
  <conditionalFormatting sqref="D7">
    <cfRule type="cellIs" dxfId="11" priority="1" stopIfTrue="1" operator="between">
      <formula>1</formula>
      <formula>30</formula>
    </cfRule>
    <cfRule type="cellIs" dxfId="10" priority="2" stopIfTrue="1" operator="notBetween">
      <formula>1</formula>
      <formula>30</formula>
    </cfRule>
  </conditionalFormatting>
  <conditionalFormatting sqref="J6">
    <cfRule type="cellIs" dxfId="9" priority="3" stopIfTrue="1" operator="between">
      <formula>0</formula>
      <formula>36</formula>
    </cfRule>
    <cfRule type="cellIs" dxfId="8" priority="4" stopIfTrue="1" operator="greaterThan">
      <formula>36</formula>
    </cfRule>
  </conditionalFormatting>
  <conditionalFormatting sqref="J35">
    <cfRule type="cellIs" dxfId="7" priority="5" stopIfTrue="1" operator="greaterThan">
      <formula>0</formula>
    </cfRule>
  </conditionalFormatting>
  <conditionalFormatting sqref="D30">
    <cfRule type="cellIs" dxfId="6" priority="6" stopIfTrue="1" operator="notBetween">
      <formula>10</formula>
      <formula>900</formula>
    </cfRule>
  </conditionalFormatting>
  <conditionalFormatting sqref="D32">
    <cfRule type="cellIs" dxfId="5" priority="7" stopIfTrue="1" operator="between">
      <formula>30</formula>
      <formula>280</formula>
    </cfRule>
    <cfRule type="cellIs" dxfId="4" priority="8" stopIfTrue="1" operator="notBetween">
      <formula>30</formula>
      <formula>280</formula>
    </cfRule>
  </conditionalFormatting>
  <conditionalFormatting sqref="D37">
    <cfRule type="cellIs" dxfId="3" priority="9" stopIfTrue="1" operator="notBetween">
      <formula>25</formula>
      <formula>150</formula>
    </cfRule>
  </conditionalFormatting>
  <conditionalFormatting sqref="D35">
    <cfRule type="cellIs" dxfId="2" priority="10" stopIfTrue="1" operator="notBetween">
      <formula>20</formula>
      <formula>600</formula>
    </cfRule>
  </conditionalFormatting>
  <dataValidations count="7">
    <dataValidation allowBlank="1" showInputMessage="1" showErrorMessage="1" promptTitle="Total time of use;" prompt="The time of use, INCLUDING the standard time of use which is 2 weeks as per standard rating conditions." sqref="WVL98305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dataValidation type="custom" showInputMessage="1" showErrorMessage="1" errorTitle="Note:" error="Source is linked to input on sheet [Life cycle costing] so can't be modified here." sqref="D7 D9">
      <formula1>0</formula1>
    </dataValidation>
    <dataValidation type="custom" showInputMessage="1" showErrorMessage="1" errorTitle="Note:" error="Source is linked to input on sheet [Life cycle costing] so can't be modified here." sqref="D10">
      <formula1>0</formula1>
    </dataValidation>
    <dataValidation type="custom" showInputMessage="1" showErrorMessage="1" errorTitle="Note:" error="Source is linked to input on sheet [Life cycle costing] so can't be modified here." sqref="D8">
      <formula1>0</formula1>
    </dataValidation>
    <dataValidation type="custom" showInputMessage="1" showErrorMessage="1" errorTitle="Nota bene!" error="De inhoud is afgeschermd tegen wijzigingen om onbedoelde effecten in de formules tegen te gaan." sqref="D13 D36:D37 J8:J9 J10 D40">
      <formula1>0</formula1>
    </dataValidation>
    <dataValidation type="custom" showInputMessage="1" showErrorMessage="1" errorTitle="Nota bene!" error="De inhoud is afgeschermd tegen wijzigingen om onbedoelde effecten in de formules tegen te gaan." sqref="D38">
      <formula1>0</formula1>
    </dataValidation>
    <dataValidation type="custom" showInputMessage="1" showErrorMessage="1" errorTitle="Nota bene!" error="De inhoud is afgeschermd tegen wijzigingen om onbedoelde effecten in de formules tegen te gaan." sqref="D15">
      <formula1>0</formula1>
    </dataValidation>
  </dataValidations>
  <printOptions horizontalCentered="1" verticalCentered="1"/>
  <pageMargins left="0.23622047244094491" right="0.15748031496062992" top="0.27559055118110237" bottom="0.19685039370078741" header="0.19685039370078741" footer="0.15748031496062992"/>
  <pageSetup paperSize="9" scale="88" orientation="portrait"/>
  <headerFooter alignWithMargins="0">
    <oddFooter>&amp;C&amp;A  &amp;F&amp;R&amp;D</oddFooter>
  </headerFooter>
  <ignoredErrors>
    <ignoredError sqref="F35:F37 F30:F32" numberStoredAsText="1"/>
    <ignoredError sqref="D38"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E6E6E6"/>
  </sheetPr>
  <dimension ref="A1:X67"/>
  <sheetViews>
    <sheetView zoomScale="85" zoomScaleNormal="85" workbookViewId="0">
      <selection activeCell="E43" sqref="E43"/>
    </sheetView>
  </sheetViews>
  <sheetFormatPr defaultColWidth="0" defaultRowHeight="12.75" zeroHeight="1" x14ac:dyDescent="0.2"/>
  <cols>
    <col min="1" max="1" width="7" style="91" customWidth="1"/>
    <col min="2" max="2" width="11" style="91" customWidth="1"/>
    <col min="3" max="23" width="8" style="91" customWidth="1"/>
    <col min="24" max="24" width="6.28515625" style="91" customWidth="1"/>
    <col min="25" max="16384" width="9.140625" style="91" hidden="1"/>
  </cols>
  <sheetData>
    <row r="1" spans="1:23" x14ac:dyDescent="0.2">
      <c r="A1" s="166" t="s">
        <v>236</v>
      </c>
      <c r="I1" s="166" t="s">
        <v>235</v>
      </c>
      <c r="M1" s="92"/>
    </row>
    <row r="2" spans="1:23" x14ac:dyDescent="0.2">
      <c r="I2" s="165" t="s">
        <v>234</v>
      </c>
    </row>
    <row r="3" spans="1:23" x14ac:dyDescent="0.2">
      <c r="L3" s="153"/>
    </row>
    <row r="4" spans="1:23" x14ac:dyDescent="0.2">
      <c r="B4" s="157" t="s">
        <v>197</v>
      </c>
      <c r="C4" s="156"/>
      <c r="D4" s="156"/>
    </row>
    <row r="5" spans="1:23" ht="15" x14ac:dyDescent="0.2">
      <c r="B5" s="155"/>
      <c r="C5" s="152" t="s">
        <v>233</v>
      </c>
      <c r="D5" s="229">
        <v>500</v>
      </c>
      <c r="E5" s="409" t="s">
        <v>232</v>
      </c>
      <c r="F5" s="409"/>
      <c r="G5" s="409"/>
      <c r="H5" s="409"/>
      <c r="I5" s="164">
        <f>MATCH(D5,B11:B35)</f>
        <v>19</v>
      </c>
      <c r="J5" s="150"/>
      <c r="K5" s="150"/>
      <c r="L5" s="150"/>
      <c r="M5" s="150"/>
      <c r="N5" s="150"/>
      <c r="O5" s="150"/>
      <c r="P5" s="150"/>
      <c r="Q5" s="150"/>
      <c r="R5" s="150"/>
      <c r="S5" s="150"/>
      <c r="T5" s="150"/>
      <c r="U5" s="150"/>
      <c r="V5" s="150"/>
    </row>
    <row r="6" spans="1:23" ht="15" x14ac:dyDescent="0.2">
      <c r="B6" s="155"/>
      <c r="C6" s="152" t="s">
        <v>231</v>
      </c>
      <c r="D6" s="229">
        <v>70</v>
      </c>
      <c r="E6" s="409" t="s">
        <v>230</v>
      </c>
      <c r="F6" s="409"/>
      <c r="G6" s="409"/>
      <c r="H6" s="409"/>
      <c r="I6" s="164">
        <f>MATCH(D6,C10:W10)</f>
        <v>5</v>
      </c>
      <c r="J6" s="150"/>
      <c r="K6" s="150"/>
      <c r="L6" s="150"/>
      <c r="M6" s="150"/>
      <c r="N6" s="150"/>
      <c r="O6" s="150"/>
      <c r="P6" s="150"/>
      <c r="Q6" s="150"/>
      <c r="R6" s="150"/>
      <c r="S6" s="150"/>
      <c r="T6" s="150"/>
      <c r="U6" s="150"/>
      <c r="V6" s="150"/>
    </row>
    <row r="7" spans="1:23" ht="15" x14ac:dyDescent="0.2">
      <c r="B7" s="155"/>
      <c r="C7" s="152" t="s">
        <v>229</v>
      </c>
      <c r="D7" s="407">
        <f>INDEX($C$11:$W$35,I5,I6)</f>
        <v>63.529230252619449</v>
      </c>
      <c r="E7" s="408"/>
      <c r="F7" s="163"/>
      <c r="G7" s="163"/>
      <c r="H7" s="163"/>
      <c r="I7" s="162"/>
      <c r="J7" s="150"/>
      <c r="K7" s="150"/>
      <c r="L7" s="150"/>
      <c r="M7" s="150"/>
      <c r="N7" s="150"/>
      <c r="O7" s="150"/>
      <c r="P7" s="150"/>
      <c r="Q7" s="150"/>
      <c r="R7" s="150"/>
      <c r="S7" s="150"/>
      <c r="T7" s="150"/>
      <c r="U7" s="150"/>
      <c r="V7" s="150"/>
    </row>
    <row r="8" spans="1:23" ht="15" x14ac:dyDescent="0.2">
      <c r="A8" s="155"/>
      <c r="B8" s="155"/>
      <c r="C8" s="161"/>
      <c r="D8" s="161"/>
      <c r="E8" s="155"/>
      <c r="F8" s="160"/>
      <c r="G8" s="160"/>
      <c r="H8" s="160"/>
      <c r="I8" s="160"/>
      <c r="J8" s="155"/>
      <c r="K8" s="150"/>
      <c r="L8" s="150"/>
      <c r="M8" s="150"/>
      <c r="N8" s="150"/>
      <c r="O8" s="150"/>
      <c r="P8" s="150"/>
      <c r="Q8" s="150"/>
      <c r="R8" s="150"/>
      <c r="S8" s="150"/>
      <c r="T8" s="150"/>
      <c r="U8" s="150"/>
      <c r="V8" s="150"/>
      <c r="W8" s="150"/>
    </row>
    <row r="9" spans="1:23" ht="15" x14ac:dyDescent="0.2">
      <c r="A9" s="148"/>
      <c r="B9" s="150"/>
      <c r="C9" s="151" t="s">
        <v>228</v>
      </c>
      <c r="D9" s="150"/>
      <c r="E9" s="150"/>
      <c r="F9" s="150"/>
      <c r="G9" s="150"/>
      <c r="H9" s="150"/>
      <c r="I9" s="150"/>
      <c r="J9" s="150"/>
      <c r="K9" s="150"/>
      <c r="L9" s="150"/>
      <c r="M9" s="150"/>
      <c r="N9" s="150"/>
      <c r="O9" s="150"/>
      <c r="P9" s="150"/>
      <c r="Q9" s="150"/>
      <c r="R9" s="150"/>
      <c r="S9" s="150"/>
      <c r="T9" s="150"/>
      <c r="U9" s="150"/>
      <c r="V9" s="150"/>
      <c r="W9" s="150"/>
    </row>
    <row r="10" spans="1:23" ht="15.75" thickBot="1" x14ac:dyDescent="0.25">
      <c r="A10" s="148"/>
      <c r="B10" s="198" t="s">
        <v>227</v>
      </c>
      <c r="C10" s="149">
        <v>30</v>
      </c>
      <c r="D10" s="149">
        <v>40</v>
      </c>
      <c r="E10" s="149">
        <v>50</v>
      </c>
      <c r="F10" s="149">
        <v>60</v>
      </c>
      <c r="G10" s="149">
        <v>70</v>
      </c>
      <c r="H10" s="149">
        <v>80</v>
      </c>
      <c r="I10" s="149">
        <v>100</v>
      </c>
      <c r="J10" s="149">
        <v>120</v>
      </c>
      <c r="K10" s="149">
        <v>130</v>
      </c>
      <c r="L10" s="149">
        <v>140</v>
      </c>
      <c r="M10" s="149">
        <v>150</v>
      </c>
      <c r="N10" s="149">
        <v>180</v>
      </c>
      <c r="O10" s="149">
        <v>190</v>
      </c>
      <c r="P10" s="149">
        <v>200</v>
      </c>
      <c r="Q10" s="149">
        <v>220</v>
      </c>
      <c r="R10" s="149">
        <v>230</v>
      </c>
      <c r="S10" s="149">
        <v>240</v>
      </c>
      <c r="T10" s="149">
        <v>250</v>
      </c>
      <c r="U10" s="149">
        <v>260</v>
      </c>
      <c r="V10" s="149">
        <v>270</v>
      </c>
      <c r="W10" s="149">
        <v>280</v>
      </c>
    </row>
    <row r="11" spans="1:23" ht="15" x14ac:dyDescent="0.2">
      <c r="A11" s="148"/>
      <c r="B11" s="147">
        <v>10</v>
      </c>
      <c r="C11" s="146">
        <v>12.70584605052389</v>
      </c>
      <c r="D11" s="146">
        <v>14.974747130974585</v>
      </c>
      <c r="E11" s="146">
        <v>16.336087779245002</v>
      </c>
      <c r="F11" s="146">
        <v>18.604988859695695</v>
      </c>
      <c r="G11" s="146">
        <v>21.327670156236529</v>
      </c>
      <c r="H11" s="146">
        <v>23.142791020597084</v>
      </c>
      <c r="I11" s="146">
        <v>27.226812965408335</v>
      </c>
      <c r="J11" s="146">
        <v>32.672175558490004</v>
      </c>
      <c r="K11" s="146"/>
      <c r="L11" s="146"/>
      <c r="M11" s="146"/>
      <c r="N11" s="146"/>
      <c r="O11" s="146"/>
      <c r="P11" s="146"/>
      <c r="Q11" s="146"/>
      <c r="R11" s="146"/>
      <c r="S11" s="146"/>
      <c r="T11" s="146"/>
      <c r="U11" s="146"/>
      <c r="V11" s="146"/>
      <c r="W11" s="146"/>
    </row>
    <row r="12" spans="1:23" ht="15" x14ac:dyDescent="0.2">
      <c r="A12" s="148"/>
      <c r="B12" s="147">
        <v>15</v>
      </c>
      <c r="C12" s="146">
        <v>13.159626266614028</v>
      </c>
      <c r="D12" s="146">
        <v>15.428527347064723</v>
      </c>
      <c r="E12" s="146">
        <v>16.78986799533514</v>
      </c>
      <c r="F12" s="146">
        <v>19.058769075785833</v>
      </c>
      <c r="G12" s="146">
        <v>21.327670156236529</v>
      </c>
      <c r="H12" s="146">
        <v>23.142791020597084</v>
      </c>
      <c r="I12" s="146">
        <v>27.680593181498473</v>
      </c>
      <c r="J12" s="146">
        <v>33.125955774580142</v>
      </c>
      <c r="K12" s="146">
        <v>37.663757935481527</v>
      </c>
      <c r="L12" s="146"/>
      <c r="M12" s="146"/>
      <c r="N12" s="146"/>
      <c r="O12" s="146"/>
      <c r="P12" s="146"/>
      <c r="Q12" s="146"/>
      <c r="R12" s="146"/>
      <c r="S12" s="146"/>
      <c r="T12" s="146"/>
      <c r="U12" s="146"/>
      <c r="V12" s="146"/>
      <c r="W12" s="146"/>
    </row>
    <row r="13" spans="1:23" ht="15" x14ac:dyDescent="0.2">
      <c r="A13" s="148"/>
      <c r="B13" s="147">
        <v>20</v>
      </c>
      <c r="C13" s="146">
        <v>13.613406482704168</v>
      </c>
      <c r="D13" s="146">
        <v>15.428527347064723</v>
      </c>
      <c r="E13" s="146">
        <v>17.243648211425278</v>
      </c>
      <c r="F13" s="146">
        <v>19.512549291875974</v>
      </c>
      <c r="G13" s="146">
        <v>21.781450372326667</v>
      </c>
      <c r="H13" s="146">
        <v>23.596571236687222</v>
      </c>
      <c r="I13" s="146">
        <v>28.134373397588611</v>
      </c>
      <c r="J13" s="146">
        <v>33.579735990670279</v>
      </c>
      <c r="K13" s="146">
        <v>39.025098583751948</v>
      </c>
      <c r="L13" s="146">
        <v>40.840219448112499</v>
      </c>
      <c r="M13" s="146"/>
      <c r="N13" s="146"/>
      <c r="O13" s="146"/>
      <c r="P13" s="146"/>
      <c r="Q13" s="146"/>
      <c r="R13" s="146"/>
      <c r="S13" s="146"/>
      <c r="T13" s="146"/>
      <c r="U13" s="146"/>
      <c r="V13" s="146"/>
      <c r="W13" s="146"/>
    </row>
    <row r="14" spans="1:23" ht="15" x14ac:dyDescent="0.2">
      <c r="A14" s="148"/>
      <c r="B14" s="147">
        <v>25</v>
      </c>
      <c r="C14" s="146">
        <v>14.067186698794305</v>
      </c>
      <c r="D14" s="146">
        <v>15.882307563154862</v>
      </c>
      <c r="E14" s="146">
        <v>17.243648211425278</v>
      </c>
      <c r="F14" s="146">
        <v>19.966329507966112</v>
      </c>
      <c r="G14" s="146">
        <v>22.235230588416808</v>
      </c>
      <c r="H14" s="146">
        <v>24.050351452777363</v>
      </c>
      <c r="I14" s="146">
        <v>29.04193382976889</v>
      </c>
      <c r="J14" s="146">
        <v>34.487296422850555</v>
      </c>
      <c r="K14" s="146">
        <v>40.386439232022362</v>
      </c>
      <c r="L14" s="146">
        <v>43.109120528563196</v>
      </c>
      <c r="M14" s="146">
        <v>45.83180182510403</v>
      </c>
      <c r="N14" s="146"/>
      <c r="O14" s="146"/>
      <c r="P14" s="146"/>
      <c r="Q14" s="146"/>
      <c r="R14" s="146"/>
      <c r="S14" s="146"/>
      <c r="T14" s="146"/>
      <c r="U14" s="146"/>
      <c r="V14" s="146"/>
      <c r="W14" s="146"/>
    </row>
    <row r="15" spans="1:23" ht="15" x14ac:dyDescent="0.2">
      <c r="A15" s="148"/>
      <c r="B15" s="147">
        <v>40</v>
      </c>
      <c r="C15" s="146">
        <v>15.428527347064723</v>
      </c>
      <c r="D15" s="146">
        <v>16.78986799533514</v>
      </c>
      <c r="E15" s="146">
        <v>18.151208643605557</v>
      </c>
      <c r="F15" s="146">
        <v>21.327670156236529</v>
      </c>
      <c r="G15" s="146">
        <v>24.050351452777363</v>
      </c>
      <c r="H15" s="146">
        <v>25.865472317137918</v>
      </c>
      <c r="I15" s="146">
        <v>30.403274478039307</v>
      </c>
      <c r="J15" s="146">
        <v>35.394856855030838</v>
      </c>
      <c r="K15" s="146">
        <v>41.747779880292782</v>
      </c>
      <c r="L15" s="146">
        <v>43.562900744653334</v>
      </c>
      <c r="M15" s="146">
        <v>47.193142473374444</v>
      </c>
      <c r="N15" s="146">
        <v>49.008263337735002</v>
      </c>
      <c r="O15" s="146"/>
      <c r="P15" s="146"/>
      <c r="Q15" s="146"/>
      <c r="R15" s="146"/>
      <c r="S15" s="146"/>
      <c r="T15" s="146"/>
      <c r="U15" s="146"/>
      <c r="V15" s="146"/>
      <c r="W15" s="146"/>
    </row>
    <row r="16" spans="1:23" ht="15" x14ac:dyDescent="0.2">
      <c r="A16" s="148"/>
      <c r="B16" s="147">
        <v>50</v>
      </c>
      <c r="C16" s="146">
        <v>16.336087779245002</v>
      </c>
      <c r="D16" s="146">
        <v>17.243648211425278</v>
      </c>
      <c r="E16" s="146">
        <v>19.512549291875974</v>
      </c>
      <c r="F16" s="146">
        <v>22.689010804506946</v>
      </c>
      <c r="G16" s="146">
        <v>25.41169210104778</v>
      </c>
      <c r="H16" s="146">
        <v>27.226812965408335</v>
      </c>
      <c r="I16" s="146">
        <v>31.764615126309725</v>
      </c>
      <c r="J16" s="146">
        <v>36.756197503301252</v>
      </c>
      <c r="K16" s="146">
        <v>43.562900744653334</v>
      </c>
      <c r="L16" s="146">
        <v>48.100702905554726</v>
      </c>
      <c r="M16" s="146">
        <v>52.184724850365974</v>
      </c>
      <c r="N16" s="146">
        <v>53.546065498636395</v>
      </c>
      <c r="O16" s="146">
        <v>57.176307227357505</v>
      </c>
      <c r="P16" s="146"/>
      <c r="Q16" s="146"/>
      <c r="R16" s="146"/>
      <c r="S16" s="146"/>
      <c r="T16" s="146"/>
      <c r="U16" s="146"/>
      <c r="V16" s="146"/>
      <c r="W16" s="146"/>
    </row>
    <row r="17" spans="1:23" ht="15" x14ac:dyDescent="0.2">
      <c r="A17" s="148"/>
      <c r="B17" s="147">
        <v>65</v>
      </c>
      <c r="C17" s="146">
        <v>17.243648211425278</v>
      </c>
      <c r="D17" s="146">
        <v>18.151208643605557</v>
      </c>
      <c r="E17" s="146">
        <v>19.966329507966112</v>
      </c>
      <c r="F17" s="146">
        <v>23.142791020597084</v>
      </c>
      <c r="G17" s="146">
        <v>25.865472317137918</v>
      </c>
      <c r="H17" s="146">
        <v>28.134373397588611</v>
      </c>
      <c r="I17" s="146">
        <v>32.218395342399866</v>
      </c>
      <c r="J17" s="146">
        <v>37.663757935481527</v>
      </c>
      <c r="K17" s="146">
        <v>44.470461176833616</v>
      </c>
      <c r="L17" s="146">
        <v>49.008263337735002</v>
      </c>
      <c r="M17" s="146">
        <v>53.546065498636395</v>
      </c>
      <c r="N17" s="146">
        <v>55.361186362996946</v>
      </c>
      <c r="O17" s="146">
        <v>58.991428091718056</v>
      </c>
      <c r="P17" s="146">
        <v>62.167889604349028</v>
      </c>
      <c r="Q17" s="146"/>
      <c r="R17" s="146"/>
      <c r="S17" s="146"/>
      <c r="T17" s="146"/>
      <c r="U17" s="146"/>
      <c r="V17" s="146"/>
      <c r="W17" s="146"/>
    </row>
    <row r="18" spans="1:23" ht="15" x14ac:dyDescent="0.2">
      <c r="A18" s="148"/>
      <c r="B18" s="147">
        <v>70</v>
      </c>
      <c r="C18" s="146">
        <v>17.243648211425278</v>
      </c>
      <c r="D18" s="146">
        <v>19.058769075785833</v>
      </c>
      <c r="E18" s="146">
        <v>20.42010972405625</v>
      </c>
      <c r="F18" s="146">
        <v>23.596571236687222</v>
      </c>
      <c r="G18" s="146">
        <v>26.319252533228056</v>
      </c>
      <c r="H18" s="146">
        <v>28.588153613678752</v>
      </c>
      <c r="I18" s="146">
        <v>33.125955774580142</v>
      </c>
      <c r="J18" s="146">
        <v>38.117538151571665</v>
      </c>
      <c r="K18" s="146">
        <v>45.378021609013892</v>
      </c>
      <c r="L18" s="146">
        <v>50.369603986005416</v>
      </c>
      <c r="M18" s="146">
        <v>53.999845714726533</v>
      </c>
      <c r="N18" s="146">
        <v>56.722527011267367</v>
      </c>
      <c r="O18" s="146">
        <v>61.71410938825889</v>
      </c>
      <c r="P18" s="146">
        <v>64.436790684799732</v>
      </c>
      <c r="Q18" s="146">
        <v>66.705691765250421</v>
      </c>
      <c r="R18" s="146"/>
      <c r="S18" s="146"/>
      <c r="T18" s="146"/>
      <c r="U18" s="146"/>
      <c r="V18" s="146"/>
      <c r="W18" s="146"/>
    </row>
    <row r="19" spans="1:23" ht="15" x14ac:dyDescent="0.2">
      <c r="A19" s="148"/>
      <c r="B19" s="147">
        <v>80</v>
      </c>
      <c r="C19" s="146">
        <v>18.151208643605557</v>
      </c>
      <c r="D19" s="146">
        <v>19.966329507966112</v>
      </c>
      <c r="E19" s="146">
        <v>21.781450372326667</v>
      </c>
      <c r="F19" s="146">
        <v>24.504131668867501</v>
      </c>
      <c r="G19" s="146">
        <v>27.226812965408335</v>
      </c>
      <c r="H19" s="146">
        <v>29.495714045859028</v>
      </c>
      <c r="I19" s="146">
        <v>34.487296422850555</v>
      </c>
      <c r="J19" s="146">
        <v>38.117538151571665</v>
      </c>
      <c r="K19" s="146">
        <v>45.83180182510403</v>
      </c>
      <c r="L19" s="146">
        <v>51.277164418185698</v>
      </c>
      <c r="M19" s="146">
        <v>54.907406146906808</v>
      </c>
      <c r="N19" s="146">
        <v>58.537647875627918</v>
      </c>
      <c r="O19" s="146">
        <v>64.436790684799732</v>
      </c>
      <c r="P19" s="146">
        <v>66.705691765250421</v>
      </c>
      <c r="Q19" s="146">
        <v>69.882153277881386</v>
      </c>
      <c r="R19" s="146">
        <v>73.058614790512365</v>
      </c>
      <c r="S19" s="146"/>
      <c r="T19" s="146"/>
      <c r="U19" s="146"/>
      <c r="V19" s="146"/>
      <c r="W19" s="146"/>
    </row>
    <row r="20" spans="1:23" ht="15" x14ac:dyDescent="0.2">
      <c r="A20" s="148"/>
      <c r="B20" s="147">
        <v>100</v>
      </c>
      <c r="C20" s="146">
        <v>20.42010972405625</v>
      </c>
      <c r="D20" s="146">
        <v>21.327670156236529</v>
      </c>
      <c r="E20" s="146">
        <v>24.050351452777363</v>
      </c>
      <c r="F20" s="146">
        <v>26.319252533228056</v>
      </c>
      <c r="G20" s="146">
        <v>29.04193382976889</v>
      </c>
      <c r="H20" s="146">
        <v>31.310834910219583</v>
      </c>
      <c r="I20" s="146">
        <v>36.756197503301252</v>
      </c>
      <c r="J20" s="146">
        <v>42.655340312473058</v>
      </c>
      <c r="K20" s="146">
        <v>48.554483121644864</v>
      </c>
      <c r="L20" s="146">
        <v>54.453625930816671</v>
      </c>
      <c r="M20" s="146">
        <v>57.630087443447643</v>
      </c>
      <c r="N20" s="146">
        <v>61.71410938825889</v>
      </c>
      <c r="O20" s="146">
        <v>69.428373061791248</v>
      </c>
      <c r="P20" s="146">
        <v>72.604834574422227</v>
      </c>
      <c r="Q20" s="146">
        <v>75.781296087053192</v>
      </c>
      <c r="R20" s="146">
        <v>77.596416951413758</v>
      </c>
      <c r="S20" s="146">
        <v>81.680438896224999</v>
      </c>
      <c r="T20" s="146"/>
      <c r="U20" s="146"/>
      <c r="V20" s="146"/>
      <c r="W20" s="146"/>
    </row>
    <row r="21" spans="1:23" ht="15" x14ac:dyDescent="0.2">
      <c r="A21" s="148"/>
      <c r="B21" s="147">
        <v>125</v>
      </c>
      <c r="C21" s="146">
        <v>21.327670156236529</v>
      </c>
      <c r="D21" s="146">
        <v>23.142791020597084</v>
      </c>
      <c r="E21" s="146">
        <v>25.865472317137918</v>
      </c>
      <c r="F21" s="146">
        <v>28.588153613678752</v>
      </c>
      <c r="G21" s="146">
        <v>31.310834910219583</v>
      </c>
      <c r="H21" s="146">
        <v>33.579735990670279</v>
      </c>
      <c r="I21" s="146">
        <v>39.478878799842086</v>
      </c>
      <c r="J21" s="146">
        <v>45.378021609013892</v>
      </c>
      <c r="K21" s="146">
        <v>51.277164418185698</v>
      </c>
      <c r="L21" s="146">
        <v>57.176307227357505</v>
      </c>
      <c r="M21" s="146">
        <v>60.806548956078615</v>
      </c>
      <c r="N21" s="146">
        <v>64.89057090088987</v>
      </c>
      <c r="O21" s="146">
        <v>72.604834574422227</v>
      </c>
      <c r="P21" s="146">
        <v>75.327515870963055</v>
      </c>
      <c r="Q21" s="146">
        <v>78.503977383594034</v>
      </c>
      <c r="R21" s="146">
        <v>82.134219112315137</v>
      </c>
      <c r="S21" s="146">
        <v>87.125801489306667</v>
      </c>
      <c r="T21" s="146">
        <v>95.293845378929177</v>
      </c>
      <c r="U21" s="146"/>
      <c r="V21" s="146"/>
      <c r="W21" s="146"/>
    </row>
    <row r="22" spans="1:23" ht="15" x14ac:dyDescent="0.2">
      <c r="A22" s="148"/>
      <c r="B22" s="147">
        <v>150</v>
      </c>
      <c r="C22" s="146">
        <v>22.689010804506946</v>
      </c>
      <c r="D22" s="146">
        <v>24.957911884957639</v>
      </c>
      <c r="E22" s="146">
        <v>27.680593181498473</v>
      </c>
      <c r="F22" s="146">
        <v>30.403274478039307</v>
      </c>
      <c r="G22" s="146">
        <v>33.579735990670279</v>
      </c>
      <c r="H22" s="146">
        <v>35.848637071120976</v>
      </c>
      <c r="I22" s="146">
        <v>42.20156009638292</v>
      </c>
      <c r="J22" s="146">
        <v>48.100702905554726</v>
      </c>
      <c r="K22" s="146">
        <v>54.453625930816671</v>
      </c>
      <c r="L22" s="146">
        <v>60.352768739988477</v>
      </c>
      <c r="M22" s="146">
        <v>63.983010468709587</v>
      </c>
      <c r="N22" s="146">
        <v>68.067032413520835</v>
      </c>
      <c r="O22" s="146">
        <v>76.23507630314333</v>
      </c>
      <c r="P22" s="146">
        <v>78.050197167503896</v>
      </c>
      <c r="Q22" s="146">
        <v>83.041779544495427</v>
      </c>
      <c r="R22" s="146">
        <v>86.672021273216529</v>
      </c>
      <c r="S22" s="146">
        <v>92.117383866298198</v>
      </c>
      <c r="T22" s="146">
        <v>100.28542775592069</v>
      </c>
      <c r="U22" s="146">
        <v>108.90725186163334</v>
      </c>
      <c r="V22" s="146"/>
      <c r="W22" s="146"/>
    </row>
    <row r="23" spans="1:23" ht="15" x14ac:dyDescent="0.2">
      <c r="A23" s="148"/>
      <c r="B23" s="147">
        <v>200</v>
      </c>
      <c r="C23" s="146">
        <v>27.226812965408335</v>
      </c>
      <c r="D23" s="146">
        <v>28.588153613678752</v>
      </c>
      <c r="E23" s="146">
        <v>30.403274478039307</v>
      </c>
      <c r="F23" s="146">
        <v>34.033516206760417</v>
      </c>
      <c r="G23" s="146">
        <v>38.117538151571665</v>
      </c>
      <c r="H23" s="146">
        <v>40.386439232022362</v>
      </c>
      <c r="I23" s="146">
        <v>46.739362257284306</v>
      </c>
      <c r="J23" s="146">
        <v>53.546065498636395</v>
      </c>
      <c r="K23" s="146">
        <v>56.268746795177222</v>
      </c>
      <c r="L23" s="146">
        <v>66.251911549160283</v>
      </c>
      <c r="M23" s="146">
        <v>70.335933493971538</v>
      </c>
      <c r="N23" s="146">
        <v>74.873735654872917</v>
      </c>
      <c r="O23" s="146">
        <v>79.411537815774309</v>
      </c>
      <c r="P23" s="146">
        <v>84.856900408855978</v>
      </c>
      <c r="Q23" s="146">
        <v>87.579581705396805</v>
      </c>
      <c r="R23" s="146">
        <v>90.302263001937646</v>
      </c>
      <c r="S23" s="146">
        <v>97.562746459379866</v>
      </c>
      <c r="T23" s="146">
        <v>105.27701013291222</v>
      </c>
      <c r="U23" s="146">
        <v>117.07529575125584</v>
      </c>
      <c r="V23" s="146">
        <v>123.42821877651778</v>
      </c>
      <c r="W23" s="146"/>
    </row>
    <row r="24" spans="1:23" ht="15" x14ac:dyDescent="0.2">
      <c r="A24" s="148"/>
      <c r="B24" s="147">
        <v>250</v>
      </c>
      <c r="C24" s="146">
        <v>29.495714045859028</v>
      </c>
      <c r="D24" s="146">
        <v>32.218395342399866</v>
      </c>
      <c r="E24" s="146">
        <v>34.487296422850555</v>
      </c>
      <c r="F24" s="146">
        <v>39.025098583751948</v>
      </c>
      <c r="G24" s="146">
        <v>42.20156009638292</v>
      </c>
      <c r="H24" s="146">
        <v>44.470461176833616</v>
      </c>
      <c r="I24" s="146">
        <v>52.184724850365974</v>
      </c>
      <c r="J24" s="146">
        <v>58.991428091718056</v>
      </c>
      <c r="K24" s="146">
        <v>61.71410938825889</v>
      </c>
      <c r="L24" s="146">
        <v>72.604834574422227</v>
      </c>
      <c r="M24" s="146">
        <v>77.14263673532362</v>
      </c>
      <c r="N24" s="146">
        <v>81.680438896224999</v>
      </c>
      <c r="O24" s="146">
        <v>86.672021273216529</v>
      </c>
      <c r="P24" s="146">
        <v>92.117383866298198</v>
      </c>
      <c r="Q24" s="146">
        <v>97.108966243289728</v>
      </c>
      <c r="R24" s="146">
        <v>103.46188926855167</v>
      </c>
      <c r="S24" s="146">
        <v>110.26859250990375</v>
      </c>
      <c r="T24" s="146">
        <v>117.52907596734597</v>
      </c>
      <c r="U24" s="146">
        <v>124.78955942478819</v>
      </c>
      <c r="V24" s="146">
        <v>132.9576033144107</v>
      </c>
      <c r="W24" s="146">
        <v>141.57942742012335</v>
      </c>
    </row>
    <row r="25" spans="1:23" ht="15" x14ac:dyDescent="0.2">
      <c r="A25" s="148"/>
      <c r="B25" s="147">
        <v>300</v>
      </c>
      <c r="C25" s="146">
        <v>33.579735990670279</v>
      </c>
      <c r="D25" s="146">
        <v>34.941076638940693</v>
      </c>
      <c r="E25" s="146">
        <v>37.663757935481527</v>
      </c>
      <c r="F25" s="146">
        <v>42.20156009638292</v>
      </c>
      <c r="G25" s="146">
        <v>46.285582041194168</v>
      </c>
      <c r="H25" s="146">
        <v>49.008263337735002</v>
      </c>
      <c r="I25" s="146">
        <v>56.722527011267367</v>
      </c>
      <c r="J25" s="146">
        <v>63.983010468709587</v>
      </c>
      <c r="K25" s="146">
        <v>66.705691765250421</v>
      </c>
      <c r="L25" s="146">
        <v>78.957757599684172</v>
      </c>
      <c r="M25" s="146">
        <v>83.949339976675702</v>
      </c>
      <c r="N25" s="146">
        <v>90.756043218027784</v>
      </c>
      <c r="O25" s="146">
        <v>93.932504730658749</v>
      </c>
      <c r="P25" s="146">
        <v>97.562746459379866</v>
      </c>
      <c r="Q25" s="146">
        <v>104.36944970073195</v>
      </c>
      <c r="R25" s="146">
        <v>111.17615294208403</v>
      </c>
      <c r="S25" s="146">
        <v>118.43663639952625</v>
      </c>
      <c r="T25" s="146">
        <v>126.15090007305862</v>
      </c>
      <c r="U25" s="146">
        <v>134.31894396268112</v>
      </c>
      <c r="V25" s="146">
        <v>142.94076806839377</v>
      </c>
      <c r="W25" s="146">
        <v>152.47015260628666</v>
      </c>
    </row>
    <row r="26" spans="1:23" ht="15" x14ac:dyDescent="0.2">
      <c r="A26" s="148"/>
      <c r="B26" s="147">
        <v>350</v>
      </c>
      <c r="C26" s="146"/>
      <c r="D26" s="146">
        <v>37.663757935481527</v>
      </c>
      <c r="E26" s="146">
        <v>41.293999664202644</v>
      </c>
      <c r="F26" s="146">
        <v>45.378021609013892</v>
      </c>
      <c r="G26" s="146">
        <v>49.46204355382514</v>
      </c>
      <c r="H26" s="146">
        <v>52.638505066456112</v>
      </c>
      <c r="I26" s="146">
        <v>60.352768739988477</v>
      </c>
      <c r="J26" s="146">
        <v>68.067032413520835</v>
      </c>
      <c r="K26" s="146">
        <v>70.335933493971538</v>
      </c>
      <c r="L26" s="146">
        <v>83.495559760585564</v>
      </c>
      <c r="M26" s="146">
        <v>88.487142137577081</v>
      </c>
      <c r="N26" s="146">
        <v>96.655186027199591</v>
      </c>
      <c r="O26" s="146">
        <v>103.00810905246153</v>
      </c>
      <c r="P26" s="146">
        <v>106.1845705650925</v>
      </c>
      <c r="Q26" s="146">
        <v>113.44505402253473</v>
      </c>
      <c r="R26" s="146">
        <v>120.25175726388682</v>
      </c>
      <c r="S26" s="146">
        <v>128.41980115350933</v>
      </c>
      <c r="T26" s="146">
        <v>136.58784504313181</v>
      </c>
      <c r="U26" s="146">
        <v>145.20966914884445</v>
      </c>
      <c r="V26" s="146">
        <v>155.19283390282752</v>
      </c>
      <c r="W26" s="146">
        <v>165.62977887290072</v>
      </c>
    </row>
    <row r="27" spans="1:23" ht="15" x14ac:dyDescent="0.2">
      <c r="A27" s="148"/>
      <c r="B27" s="147">
        <v>400</v>
      </c>
      <c r="C27" s="146"/>
      <c r="D27" s="146">
        <v>41.747779880292782</v>
      </c>
      <c r="E27" s="146">
        <v>45.378021609013892</v>
      </c>
      <c r="F27" s="146">
        <v>49.915823769915278</v>
      </c>
      <c r="G27" s="146">
        <v>54.453625930816671</v>
      </c>
      <c r="H27" s="146">
        <v>57.630087443447643</v>
      </c>
      <c r="I27" s="146">
        <v>65.344351116980008</v>
      </c>
      <c r="J27" s="146">
        <v>73.512395006602503</v>
      </c>
      <c r="K27" s="146">
        <v>75.327515870963055</v>
      </c>
      <c r="L27" s="146">
        <v>89.848482785847509</v>
      </c>
      <c r="M27" s="146">
        <v>97.108966243289728</v>
      </c>
      <c r="N27" s="146">
        <v>102.10054862028126</v>
      </c>
      <c r="O27" s="146">
        <v>107.99969142945307</v>
      </c>
      <c r="P27" s="146">
        <v>113.44505402253473</v>
      </c>
      <c r="Q27" s="146">
        <v>120.70553747997695</v>
      </c>
      <c r="R27" s="146">
        <v>128.87358136959946</v>
      </c>
      <c r="S27" s="146">
        <v>134.77272417877126</v>
      </c>
      <c r="T27" s="146">
        <v>142.94076806839377</v>
      </c>
      <c r="U27" s="146">
        <v>152.47015260628666</v>
      </c>
      <c r="V27" s="146">
        <v>162.45331736026972</v>
      </c>
      <c r="W27" s="146">
        <v>172.89026233034292</v>
      </c>
    </row>
    <row r="28" spans="1:23" ht="15" x14ac:dyDescent="0.2">
      <c r="A28" s="148"/>
      <c r="B28" s="147">
        <v>450</v>
      </c>
      <c r="C28" s="146"/>
      <c r="D28" s="146">
        <v>45.378021609013892</v>
      </c>
      <c r="E28" s="146">
        <v>49.46204355382514</v>
      </c>
      <c r="F28" s="146">
        <v>53.999845714726533</v>
      </c>
      <c r="G28" s="146">
        <v>58.991428091718056</v>
      </c>
      <c r="H28" s="146">
        <v>62.621669820439166</v>
      </c>
      <c r="I28" s="146">
        <v>70.789713710061676</v>
      </c>
      <c r="J28" s="146">
        <v>78.957757599684172</v>
      </c>
      <c r="K28" s="146">
        <v>81.680438896224999</v>
      </c>
      <c r="L28" s="146">
        <v>96.201405811109453</v>
      </c>
      <c r="M28" s="146">
        <v>101.64676840419112</v>
      </c>
      <c r="N28" s="146">
        <v>112.53749359035444</v>
      </c>
      <c r="O28" s="146">
        <v>118.43663639952625</v>
      </c>
      <c r="P28" s="146">
        <v>124.33577920869806</v>
      </c>
      <c r="Q28" s="146">
        <v>127.0584605052389</v>
      </c>
      <c r="R28" s="146">
        <v>135.68028461095153</v>
      </c>
      <c r="S28" s="146">
        <v>142.48698785230363</v>
      </c>
      <c r="T28" s="146">
        <v>151.56259217410638</v>
      </c>
      <c r="U28" s="146">
        <v>161.54575692808945</v>
      </c>
      <c r="V28" s="146">
        <v>171.52892168207251</v>
      </c>
      <c r="W28" s="146">
        <v>182.87342708432598</v>
      </c>
    </row>
    <row r="29" spans="1:23" ht="15" x14ac:dyDescent="0.2">
      <c r="A29" s="148"/>
      <c r="B29" s="147">
        <v>500</v>
      </c>
      <c r="C29" s="146"/>
      <c r="D29" s="146">
        <v>49.008263337735002</v>
      </c>
      <c r="E29" s="146">
        <v>53.546065498636395</v>
      </c>
      <c r="F29" s="146">
        <v>58.537647875627918</v>
      </c>
      <c r="G29" s="146">
        <v>63.529230252619449</v>
      </c>
      <c r="H29" s="146">
        <v>67.613252197430697</v>
      </c>
      <c r="I29" s="146">
        <v>75.781296087053192</v>
      </c>
      <c r="J29" s="146">
        <v>84.40312019276584</v>
      </c>
      <c r="K29" s="146">
        <v>87.125801489306667</v>
      </c>
      <c r="L29" s="146">
        <v>102.5543288363714</v>
      </c>
      <c r="M29" s="146">
        <v>108.90725186163334</v>
      </c>
      <c r="N29" s="146">
        <v>117.98285618343611</v>
      </c>
      <c r="O29" s="146">
        <v>128.87358136959946</v>
      </c>
      <c r="P29" s="146">
        <v>137.94918569140222</v>
      </c>
      <c r="Q29" s="146">
        <v>143.84832850057404</v>
      </c>
      <c r="R29" s="146">
        <v>152.92393282237683</v>
      </c>
      <c r="S29" s="146">
        <v>163.36087779245</v>
      </c>
      <c r="T29" s="146">
        <v>173.7978227625232</v>
      </c>
      <c r="U29" s="146">
        <v>185.14232816477667</v>
      </c>
      <c r="V29" s="146">
        <v>197.39439399921042</v>
      </c>
      <c r="W29" s="146">
        <v>210.10024004973431</v>
      </c>
    </row>
    <row r="30" spans="1:23" ht="15" x14ac:dyDescent="0.2">
      <c r="A30" s="148"/>
      <c r="B30" s="147">
        <v>550</v>
      </c>
      <c r="C30" s="146"/>
      <c r="D30" s="146">
        <v>53.09228528254625</v>
      </c>
      <c r="E30" s="146">
        <v>57.630087443447643</v>
      </c>
      <c r="F30" s="146">
        <v>62.621669820439166</v>
      </c>
      <c r="G30" s="146">
        <v>68.067032413520835</v>
      </c>
      <c r="H30" s="146">
        <v>72.604834574422227</v>
      </c>
      <c r="I30" s="146">
        <v>80.772878464044723</v>
      </c>
      <c r="J30" s="146">
        <v>89.394702569757371</v>
      </c>
      <c r="K30" s="146">
        <v>97.108966243289728</v>
      </c>
      <c r="L30" s="146">
        <v>113.89883423862487</v>
      </c>
      <c r="M30" s="146">
        <v>120.70553747997695</v>
      </c>
      <c r="N30" s="146">
        <v>131.59626266614029</v>
      </c>
      <c r="O30" s="146">
        <v>142.48698785230363</v>
      </c>
      <c r="P30" s="146">
        <v>151.56259217410638</v>
      </c>
      <c r="Q30" s="146">
        <v>157.00795476718807</v>
      </c>
      <c r="R30" s="146">
        <v>166.99111952117113</v>
      </c>
      <c r="S30" s="146">
        <v>176.97428427515416</v>
      </c>
      <c r="T30" s="146">
        <v>188.31878967740764</v>
      </c>
      <c r="U30" s="146">
        <v>202.38597637620197</v>
      </c>
      <c r="V30" s="146">
        <v>213.27670156236528</v>
      </c>
      <c r="W30" s="146">
        <v>226.43632782897933</v>
      </c>
    </row>
    <row r="31" spans="1:23" ht="15" x14ac:dyDescent="0.2">
      <c r="A31" s="148"/>
      <c r="B31" s="147">
        <v>600</v>
      </c>
      <c r="C31" s="146"/>
      <c r="D31" s="146">
        <v>57.176307227357505</v>
      </c>
      <c r="E31" s="146">
        <v>61.71410938825889</v>
      </c>
      <c r="F31" s="146">
        <v>67.159471981340559</v>
      </c>
      <c r="G31" s="146">
        <v>72.604834574422227</v>
      </c>
      <c r="H31" s="146">
        <v>77.14263673532362</v>
      </c>
      <c r="I31" s="146">
        <v>85.764460841036254</v>
      </c>
      <c r="J31" s="146">
        <v>94.840065162839039</v>
      </c>
      <c r="K31" s="146">
        <v>102.5543288363714</v>
      </c>
      <c r="L31" s="146">
        <v>125.24333964087833</v>
      </c>
      <c r="M31" s="146">
        <v>132.50382309832057</v>
      </c>
      <c r="N31" s="146">
        <v>146.57100979711487</v>
      </c>
      <c r="O31" s="146">
        <v>156.10039433500779</v>
      </c>
      <c r="P31" s="146">
        <v>164.26843822463027</v>
      </c>
      <c r="Q31" s="146">
        <v>168.80624038553168</v>
      </c>
      <c r="R31" s="146">
        <v>179.24318535560488</v>
      </c>
      <c r="S31" s="146">
        <v>191.04147097394849</v>
      </c>
      <c r="T31" s="146">
        <v>203.29353680838224</v>
      </c>
      <c r="U31" s="146">
        <v>216.45316307499627</v>
      </c>
      <c r="V31" s="146">
        <v>230.06656955770043</v>
      </c>
      <c r="W31" s="146">
        <v>245.04131668867501</v>
      </c>
    </row>
    <row r="32" spans="1:23" ht="15" x14ac:dyDescent="0.2">
      <c r="A32" s="148"/>
      <c r="B32" s="147">
        <v>700</v>
      </c>
      <c r="C32" s="146"/>
      <c r="D32" s="146"/>
      <c r="E32" s="146">
        <v>69.882153277881386</v>
      </c>
      <c r="F32" s="146">
        <v>76.23507630314333</v>
      </c>
      <c r="G32" s="146">
        <v>81.680438896224999</v>
      </c>
      <c r="H32" s="146">
        <v>86.218241057126392</v>
      </c>
      <c r="I32" s="146">
        <v>95.747625595019315</v>
      </c>
      <c r="J32" s="146">
        <v>105.73079034900236</v>
      </c>
      <c r="K32" s="146">
        <v>113.44505402253473</v>
      </c>
      <c r="L32" s="146">
        <v>138.8567461235825</v>
      </c>
      <c r="M32" s="146">
        <v>147.93235044538528</v>
      </c>
      <c r="N32" s="146">
        <v>164.72221844072041</v>
      </c>
      <c r="O32" s="146">
        <v>176.06672384297389</v>
      </c>
      <c r="P32" s="146">
        <v>186.04988859695695</v>
      </c>
      <c r="Q32" s="146">
        <v>191.49525119003863</v>
      </c>
      <c r="R32" s="146">
        <v>203.74731702447238</v>
      </c>
      <c r="S32" s="146">
        <v>217.36072350717654</v>
      </c>
      <c r="T32" s="146">
        <v>230.52034977379057</v>
      </c>
      <c r="U32" s="146">
        <v>245.49509690476515</v>
      </c>
      <c r="V32" s="146">
        <v>260.92362425182989</v>
      </c>
      <c r="W32" s="146">
        <v>277.71349224716499</v>
      </c>
    </row>
    <row r="33" spans="1:24" ht="15" x14ac:dyDescent="0.2">
      <c r="A33" s="148"/>
      <c r="B33" s="147">
        <v>750</v>
      </c>
      <c r="C33" s="146"/>
      <c r="D33" s="146"/>
      <c r="E33" s="146">
        <v>73.966175222692641</v>
      </c>
      <c r="F33" s="146">
        <v>80.772878464044723</v>
      </c>
      <c r="G33" s="146">
        <v>86.218241057126392</v>
      </c>
      <c r="H33" s="146">
        <v>90.756043218027784</v>
      </c>
      <c r="I33" s="146">
        <v>100.73920797201083</v>
      </c>
      <c r="J33" s="146">
        <v>111.17615294208403</v>
      </c>
      <c r="K33" s="146">
        <v>118.89041661561639</v>
      </c>
      <c r="L33" s="146">
        <v>145.66344936493459</v>
      </c>
      <c r="M33" s="146">
        <v>155.64661411891765</v>
      </c>
      <c r="N33" s="146">
        <v>173.7978227625232</v>
      </c>
      <c r="O33" s="146">
        <v>186.04988859695695</v>
      </c>
      <c r="P33" s="146">
        <v>196.94061378312028</v>
      </c>
      <c r="Q33" s="146">
        <v>202.8397565922921</v>
      </c>
      <c r="R33" s="146">
        <v>215.99938285890613</v>
      </c>
      <c r="S33" s="146">
        <v>230.52034977379057</v>
      </c>
      <c r="T33" s="146">
        <v>244.13375625649473</v>
      </c>
      <c r="U33" s="146">
        <v>260.01606381964962</v>
      </c>
      <c r="V33" s="146">
        <v>280.88995375979596</v>
      </c>
      <c r="W33" s="146">
        <v>294.04958002641001</v>
      </c>
    </row>
    <row r="34" spans="1:24" ht="15" x14ac:dyDescent="0.2">
      <c r="A34" s="148"/>
      <c r="B34" s="147">
        <v>800</v>
      </c>
      <c r="C34" s="146"/>
      <c r="D34" s="146"/>
      <c r="E34" s="146">
        <v>78.050197167503896</v>
      </c>
      <c r="F34" s="146">
        <v>89.848482785847509</v>
      </c>
      <c r="G34" s="146">
        <v>90.756043218027784</v>
      </c>
      <c r="H34" s="146">
        <v>95.293845378929177</v>
      </c>
      <c r="I34" s="146">
        <v>105.73079034900236</v>
      </c>
      <c r="J34" s="146">
        <v>116.16773531907556</v>
      </c>
      <c r="K34" s="146">
        <v>124.33577920869806</v>
      </c>
      <c r="L34" s="146">
        <v>152.47015260628666</v>
      </c>
      <c r="M34" s="146">
        <v>163.36087779245</v>
      </c>
      <c r="N34" s="146">
        <v>182.87342708432598</v>
      </c>
      <c r="O34" s="146">
        <v>196.03305335094001</v>
      </c>
      <c r="P34" s="146">
        <v>207.83133896928362</v>
      </c>
      <c r="Q34" s="146">
        <v>214.18426199454558</v>
      </c>
      <c r="R34" s="146">
        <v>228.25144869333988</v>
      </c>
      <c r="S34" s="146">
        <v>243.6799760404046</v>
      </c>
      <c r="T34" s="146">
        <v>257.74716273919893</v>
      </c>
      <c r="U34" s="146">
        <v>279.07483289543541</v>
      </c>
      <c r="V34" s="146">
        <v>296.3184811068607</v>
      </c>
      <c r="W34" s="146">
        <v>310.38566780565503</v>
      </c>
    </row>
    <row r="35" spans="1:24" ht="15" x14ac:dyDescent="0.2">
      <c r="A35" s="148"/>
      <c r="B35" s="147">
        <v>900</v>
      </c>
      <c r="C35" s="146"/>
      <c r="D35" s="146"/>
      <c r="E35" s="146">
        <v>86.218241057126392</v>
      </c>
      <c r="F35" s="146">
        <v>94.386284946748887</v>
      </c>
      <c r="G35" s="146">
        <v>99.831647539830556</v>
      </c>
      <c r="H35" s="146">
        <v>104.36944970073195</v>
      </c>
      <c r="I35" s="146">
        <v>115.71395510298542</v>
      </c>
      <c r="J35" s="146">
        <v>127.0584605052389</v>
      </c>
      <c r="K35" s="146">
        <v>135.22650439486139</v>
      </c>
      <c r="L35" s="146">
        <v>166.08355908899085</v>
      </c>
      <c r="M35" s="146">
        <v>178.78940513951474</v>
      </c>
      <c r="N35" s="146">
        <v>201.02463572793152</v>
      </c>
      <c r="O35" s="146">
        <v>214.18426199454558</v>
      </c>
      <c r="P35" s="146">
        <v>229.61278934161029</v>
      </c>
      <c r="Q35" s="146">
        <v>236.8732727990525</v>
      </c>
      <c r="R35" s="146">
        <v>252.75558036220738</v>
      </c>
      <c r="S35" s="146">
        <v>269.99922857363265</v>
      </c>
      <c r="T35" s="146">
        <v>284.06641527242698</v>
      </c>
      <c r="U35" s="146">
        <v>308.11676672520434</v>
      </c>
      <c r="V35" s="146">
        <v>327.17553580099013</v>
      </c>
      <c r="W35" s="146">
        <v>343.05784336414501</v>
      </c>
    </row>
    <row r="36" spans="1:24" ht="15" x14ac:dyDescent="0.2">
      <c r="A36" s="148"/>
      <c r="B36" s="150"/>
      <c r="C36" s="159"/>
      <c r="D36" s="159"/>
      <c r="E36" s="159"/>
      <c r="F36" s="159"/>
      <c r="G36" s="159"/>
      <c r="H36" s="159"/>
      <c r="I36" s="159"/>
      <c r="J36" s="159"/>
      <c r="K36" s="159"/>
      <c r="L36" s="159"/>
      <c r="M36" s="159"/>
      <c r="N36" s="159"/>
      <c r="O36" s="159"/>
      <c r="P36" s="159"/>
      <c r="Q36" s="159"/>
      <c r="R36" s="159"/>
      <c r="S36" s="159"/>
      <c r="T36" s="159"/>
      <c r="U36" s="159"/>
      <c r="V36" s="159"/>
      <c r="W36" s="159"/>
      <c r="X36" s="158"/>
    </row>
    <row r="37" spans="1:24" s="93" customFormat="1" x14ac:dyDescent="0.2">
      <c r="A37" s="91"/>
      <c r="B37" s="91"/>
      <c r="C37" s="91"/>
      <c r="D37" s="91"/>
      <c r="E37" s="91"/>
      <c r="F37" s="91"/>
      <c r="G37" s="91"/>
      <c r="H37" s="91"/>
      <c r="I37" s="91"/>
      <c r="J37" s="91"/>
      <c r="K37" s="91"/>
      <c r="L37" s="91"/>
      <c r="M37" s="91"/>
      <c r="N37" s="145"/>
      <c r="O37" s="145"/>
      <c r="P37" s="145"/>
      <c r="Q37" s="145"/>
      <c r="R37" s="145"/>
      <c r="S37" s="145"/>
      <c r="T37" s="145"/>
      <c r="U37" s="145"/>
      <c r="V37" s="145"/>
      <c r="W37" s="145"/>
      <c r="X37" s="145"/>
    </row>
    <row r="38" spans="1:24" s="93" customFormat="1" x14ac:dyDescent="0.2">
      <c r="A38" s="91"/>
      <c r="B38" s="91"/>
      <c r="C38" s="91"/>
      <c r="D38" s="91"/>
      <c r="E38" s="91"/>
      <c r="F38" s="91"/>
      <c r="G38" s="91"/>
      <c r="H38" s="91"/>
      <c r="I38" s="91"/>
      <c r="J38" s="91"/>
      <c r="K38" s="91"/>
      <c r="L38" s="91"/>
      <c r="M38" s="91"/>
      <c r="N38" s="145"/>
      <c r="O38" s="145"/>
      <c r="P38" s="145"/>
      <c r="Q38" s="145"/>
      <c r="R38" s="145"/>
      <c r="S38" s="145"/>
      <c r="T38" s="145"/>
      <c r="U38" s="145"/>
      <c r="V38" s="145"/>
      <c r="W38" s="145"/>
      <c r="X38" s="145"/>
    </row>
    <row r="39" spans="1:24" s="93" customFormat="1" x14ac:dyDescent="0.2">
      <c r="A39" s="91"/>
      <c r="B39" s="157" t="s">
        <v>194</v>
      </c>
      <c r="C39" s="156"/>
      <c r="D39" s="156"/>
      <c r="E39" s="91"/>
      <c r="F39" s="91"/>
      <c r="G39" s="91"/>
      <c r="H39" s="91"/>
      <c r="I39" s="91"/>
      <c r="J39" s="91"/>
      <c r="K39" s="91"/>
      <c r="L39" s="91"/>
      <c r="M39" s="91"/>
      <c r="N39" s="145"/>
      <c r="O39" s="145"/>
      <c r="P39" s="145"/>
      <c r="Q39" s="145"/>
      <c r="R39" s="145"/>
      <c r="S39" s="145"/>
      <c r="T39" s="145"/>
      <c r="U39" s="145"/>
      <c r="V39" s="145"/>
      <c r="W39" s="145"/>
      <c r="X39" s="145"/>
    </row>
    <row r="40" spans="1:24" s="93" customFormat="1" x14ac:dyDescent="0.2">
      <c r="A40" s="155"/>
      <c r="B40" s="155"/>
      <c r="C40" s="152" t="s">
        <v>233</v>
      </c>
      <c r="D40" s="229">
        <v>250</v>
      </c>
      <c r="E40" s="410" t="s">
        <v>232</v>
      </c>
      <c r="F40" s="410"/>
      <c r="G40" s="410"/>
      <c r="H40" s="410"/>
      <c r="I40" s="154">
        <f>MATCH(D40,B46:B64)</f>
        <v>12</v>
      </c>
      <c r="J40" s="91"/>
      <c r="K40" s="91"/>
      <c r="L40" s="91"/>
      <c r="M40" s="91"/>
      <c r="N40" s="145"/>
      <c r="O40" s="145"/>
      <c r="P40" s="145"/>
      <c r="Q40" s="145"/>
      <c r="R40" s="145"/>
      <c r="S40" s="145"/>
      <c r="T40" s="145"/>
      <c r="U40" s="145"/>
      <c r="V40" s="145"/>
      <c r="W40" s="145"/>
      <c r="X40" s="145"/>
    </row>
    <row r="41" spans="1:24" s="93" customFormat="1" x14ac:dyDescent="0.2">
      <c r="A41" s="155"/>
      <c r="B41" s="155"/>
      <c r="C41" s="152" t="s">
        <v>231</v>
      </c>
      <c r="D41" s="229">
        <v>140</v>
      </c>
      <c r="E41" s="410" t="s">
        <v>230</v>
      </c>
      <c r="F41" s="410"/>
      <c r="G41" s="410"/>
      <c r="H41" s="410"/>
      <c r="I41" s="154">
        <f>MATCH(D41,C45:L45)</f>
        <v>9</v>
      </c>
      <c r="J41" s="91"/>
      <c r="K41" s="91"/>
      <c r="L41" s="91"/>
      <c r="M41" s="91"/>
      <c r="N41" s="145"/>
      <c r="O41" s="145"/>
      <c r="P41" s="145"/>
      <c r="Q41" s="145"/>
      <c r="R41" s="145"/>
      <c r="S41" s="145"/>
      <c r="T41" s="145"/>
      <c r="U41" s="145"/>
      <c r="V41" s="145"/>
      <c r="W41" s="145"/>
      <c r="X41" s="145"/>
    </row>
    <row r="42" spans="1:24" s="93" customFormat="1" ht="15" x14ac:dyDescent="0.2">
      <c r="A42" s="148"/>
      <c r="B42" s="153"/>
      <c r="C42" s="152" t="s">
        <v>229</v>
      </c>
      <c r="D42" s="407">
        <f>INDEX($C$46:$L$64,I40,I41)</f>
        <v>149.74747130974583</v>
      </c>
      <c r="E42" s="408"/>
      <c r="F42" s="150"/>
      <c r="G42" s="150"/>
      <c r="H42" s="150"/>
      <c r="I42" s="150"/>
      <c r="J42" s="150"/>
      <c r="K42" s="150"/>
      <c r="L42" s="150"/>
      <c r="M42" s="91"/>
      <c r="N42" s="145"/>
      <c r="O42" s="145"/>
      <c r="P42" s="145"/>
      <c r="Q42" s="145"/>
      <c r="R42" s="145"/>
      <c r="S42" s="145"/>
      <c r="T42" s="145"/>
      <c r="U42" s="145"/>
      <c r="V42" s="145"/>
      <c r="W42" s="145"/>
      <c r="X42" s="145"/>
    </row>
    <row r="43" spans="1:24" s="93" customFormat="1" ht="15" x14ac:dyDescent="0.2">
      <c r="A43" s="148"/>
      <c r="B43" s="153"/>
      <c r="C43" s="152"/>
      <c r="D43" s="150"/>
      <c r="E43" s="150"/>
      <c r="F43" s="150"/>
      <c r="G43" s="150"/>
      <c r="H43" s="150"/>
      <c r="I43" s="150"/>
      <c r="J43" s="150"/>
      <c r="K43" s="150"/>
      <c r="L43" s="150"/>
      <c r="M43" s="91"/>
      <c r="N43" s="145"/>
      <c r="O43" s="145"/>
      <c r="P43" s="145"/>
      <c r="Q43" s="145"/>
      <c r="R43" s="145"/>
      <c r="S43" s="145"/>
      <c r="T43" s="145"/>
      <c r="U43" s="145"/>
      <c r="V43" s="145"/>
      <c r="W43" s="145"/>
      <c r="X43" s="145"/>
    </row>
    <row r="44" spans="1:24" s="93" customFormat="1" ht="15" x14ac:dyDescent="0.2">
      <c r="A44" s="148"/>
      <c r="B44" s="150"/>
      <c r="C44" s="151" t="s">
        <v>228</v>
      </c>
      <c r="D44" s="150"/>
      <c r="E44" s="150"/>
      <c r="F44" s="150"/>
      <c r="G44" s="150"/>
      <c r="H44" s="150"/>
      <c r="I44" s="150"/>
      <c r="J44" s="150"/>
      <c r="K44" s="150"/>
      <c r="L44" s="150"/>
      <c r="M44" s="91"/>
      <c r="N44" s="145"/>
      <c r="O44" s="145"/>
      <c r="P44" s="145"/>
      <c r="Q44" s="145"/>
      <c r="R44" s="145"/>
      <c r="S44" s="145"/>
      <c r="T44" s="145"/>
      <c r="U44" s="145"/>
      <c r="V44" s="145"/>
      <c r="W44" s="145"/>
      <c r="X44" s="145"/>
    </row>
    <row r="45" spans="1:24" s="93" customFormat="1" ht="15.75" thickBot="1" x14ac:dyDescent="0.25">
      <c r="A45" s="148"/>
      <c r="B45" s="198" t="s">
        <v>227</v>
      </c>
      <c r="C45" s="149">
        <v>25</v>
      </c>
      <c r="D45" s="149">
        <v>40</v>
      </c>
      <c r="E45" s="149">
        <v>50</v>
      </c>
      <c r="F45" s="149">
        <v>65</v>
      </c>
      <c r="G45" s="149">
        <v>75</v>
      </c>
      <c r="H45" s="149">
        <v>100</v>
      </c>
      <c r="I45" s="149">
        <v>115</v>
      </c>
      <c r="J45" s="149">
        <v>125</v>
      </c>
      <c r="K45" s="149">
        <v>140</v>
      </c>
      <c r="L45" s="149">
        <v>150</v>
      </c>
      <c r="M45" s="91"/>
      <c r="N45" s="145"/>
      <c r="O45" s="145"/>
      <c r="P45" s="145"/>
      <c r="Q45" s="145"/>
      <c r="R45" s="145"/>
      <c r="S45" s="145"/>
      <c r="T45" s="145"/>
      <c r="U45" s="145"/>
      <c r="V45" s="145"/>
      <c r="W45" s="145"/>
      <c r="X45" s="145"/>
    </row>
    <row r="46" spans="1:24" s="93" customFormat="1" ht="15" x14ac:dyDescent="0.2">
      <c r="A46" s="148"/>
      <c r="B46" s="147">
        <v>20</v>
      </c>
      <c r="C46" s="146">
        <v>15.882307563154862</v>
      </c>
      <c r="D46" s="146">
        <v>21.781450372326667</v>
      </c>
      <c r="E46" s="146">
        <v>25.865472317137918</v>
      </c>
      <c r="F46" s="146"/>
      <c r="G46" s="146"/>
      <c r="H46" s="146"/>
      <c r="I46" s="146"/>
      <c r="J46" s="146"/>
      <c r="K46" s="146"/>
      <c r="L46" s="146"/>
      <c r="M46" s="91"/>
      <c r="N46" s="145"/>
      <c r="O46" s="145"/>
      <c r="P46" s="145"/>
      <c r="Q46" s="145"/>
      <c r="R46" s="145"/>
      <c r="S46" s="145"/>
      <c r="T46" s="145"/>
      <c r="U46" s="145"/>
      <c r="V46" s="145"/>
      <c r="W46" s="145"/>
      <c r="X46" s="145"/>
    </row>
    <row r="47" spans="1:24" s="93" customFormat="1" ht="15" x14ac:dyDescent="0.2">
      <c r="A47" s="148"/>
      <c r="B47" s="147">
        <v>25</v>
      </c>
      <c r="C47" s="146">
        <v>16.336087779245002</v>
      </c>
      <c r="D47" s="146">
        <v>22.689010804506946</v>
      </c>
      <c r="E47" s="146">
        <v>27.226812965408335</v>
      </c>
      <c r="F47" s="146">
        <v>30.857054694129445</v>
      </c>
      <c r="G47" s="146">
        <v>37.663757935481527</v>
      </c>
      <c r="H47" s="146">
        <v>52.184724850365974</v>
      </c>
      <c r="I47" s="146">
        <v>71.334249969369836</v>
      </c>
      <c r="J47" s="146">
        <v>79.865318031864447</v>
      </c>
      <c r="K47" s="146">
        <v>90.756043218027784</v>
      </c>
      <c r="L47" s="146">
        <v>97.562746459379866</v>
      </c>
      <c r="M47" s="91"/>
      <c r="N47" s="145"/>
      <c r="O47" s="145"/>
      <c r="P47" s="145"/>
      <c r="Q47" s="145"/>
      <c r="R47" s="145"/>
      <c r="S47" s="145"/>
      <c r="T47" s="145"/>
      <c r="U47" s="145"/>
      <c r="V47" s="145"/>
      <c r="W47" s="145"/>
      <c r="X47" s="145"/>
    </row>
    <row r="48" spans="1:24" s="93" customFormat="1" ht="15" x14ac:dyDescent="0.2">
      <c r="A48" s="148"/>
      <c r="B48" s="147">
        <v>35</v>
      </c>
      <c r="C48" s="146">
        <v>18.604988859695695</v>
      </c>
      <c r="D48" s="146">
        <v>25.41169210104778</v>
      </c>
      <c r="E48" s="146">
        <v>29.495714045859028</v>
      </c>
      <c r="F48" s="146">
        <v>31.764615126309725</v>
      </c>
      <c r="G48" s="146">
        <v>39.025098583751948</v>
      </c>
      <c r="H48" s="146">
        <v>53.546065498636395</v>
      </c>
      <c r="I48" s="146">
        <v>73.058614790512365</v>
      </c>
      <c r="J48" s="146">
        <v>81.680438896224999</v>
      </c>
      <c r="K48" s="146">
        <v>93.024944298478474</v>
      </c>
      <c r="L48" s="146">
        <v>99.831647539830556</v>
      </c>
      <c r="M48" s="91"/>
      <c r="N48" s="145"/>
      <c r="O48" s="145"/>
      <c r="P48" s="145"/>
      <c r="Q48" s="145"/>
      <c r="R48" s="145"/>
      <c r="S48" s="145"/>
      <c r="T48" s="145"/>
      <c r="U48" s="145"/>
      <c r="V48" s="145"/>
      <c r="W48" s="145"/>
      <c r="X48" s="145"/>
    </row>
    <row r="49" spans="1:24" s="93" customFormat="1" ht="15" x14ac:dyDescent="0.2">
      <c r="A49" s="148"/>
      <c r="B49" s="147">
        <v>40</v>
      </c>
      <c r="C49" s="146">
        <v>20.873889940146391</v>
      </c>
      <c r="D49" s="146">
        <v>27.680593181498473</v>
      </c>
      <c r="E49" s="146">
        <v>29.94949426194917</v>
      </c>
      <c r="F49" s="146">
        <v>34.033516206760417</v>
      </c>
      <c r="G49" s="146">
        <v>40.522573296849401</v>
      </c>
      <c r="H49" s="146">
        <v>54.453625930816671</v>
      </c>
      <c r="I49" s="146">
        <v>75.055247741308975</v>
      </c>
      <c r="J49" s="146">
        <v>83.949339976675702</v>
      </c>
      <c r="K49" s="146">
        <v>94.386284946748887</v>
      </c>
      <c r="L49" s="146">
        <v>102.10054862028126</v>
      </c>
      <c r="M49" s="91"/>
      <c r="N49" s="145"/>
      <c r="O49" s="145"/>
      <c r="P49" s="145"/>
      <c r="Q49" s="145"/>
      <c r="R49" s="145"/>
      <c r="S49" s="145"/>
      <c r="T49" s="145"/>
      <c r="U49" s="145"/>
      <c r="V49" s="145"/>
      <c r="W49" s="145"/>
      <c r="X49" s="145"/>
    </row>
    <row r="50" spans="1:24" s="93" customFormat="1" ht="15" x14ac:dyDescent="0.2">
      <c r="A50" s="148"/>
      <c r="B50" s="147">
        <v>50</v>
      </c>
      <c r="C50" s="146">
        <v>22.689010804506946</v>
      </c>
      <c r="D50" s="146">
        <v>29.04193382976889</v>
      </c>
      <c r="E50" s="146">
        <v>30.403274478039307</v>
      </c>
      <c r="F50" s="146">
        <v>36.302417287211114</v>
      </c>
      <c r="G50" s="146">
        <v>42.972986463736156</v>
      </c>
      <c r="H50" s="146">
        <v>57.403197335402574</v>
      </c>
      <c r="I50" s="146">
        <v>78.322465297157976</v>
      </c>
      <c r="J50" s="146">
        <v>87.352691597351736</v>
      </c>
      <c r="K50" s="146">
        <v>97.562746459379866</v>
      </c>
      <c r="L50" s="146">
        <v>106.63835078118264</v>
      </c>
      <c r="M50" s="91"/>
      <c r="N50" s="145"/>
      <c r="O50" s="145"/>
      <c r="P50" s="145"/>
      <c r="Q50" s="145"/>
      <c r="R50" s="145"/>
      <c r="S50" s="145"/>
      <c r="T50" s="145"/>
      <c r="U50" s="145"/>
      <c r="V50" s="145"/>
      <c r="W50" s="145"/>
      <c r="X50" s="145"/>
    </row>
    <row r="51" spans="1:24" s="93" customFormat="1" ht="15" x14ac:dyDescent="0.2">
      <c r="A51" s="148"/>
      <c r="B51" s="147">
        <v>70</v>
      </c>
      <c r="C51" s="146">
        <v>24.050351452777363</v>
      </c>
      <c r="D51" s="146">
        <v>29.94949426194917</v>
      </c>
      <c r="E51" s="146">
        <v>31.764615126309725</v>
      </c>
      <c r="F51" s="146">
        <v>38.117538151571665</v>
      </c>
      <c r="G51" s="146">
        <v>45.378021609013892</v>
      </c>
      <c r="H51" s="146">
        <v>59.898988523898339</v>
      </c>
      <c r="I51" s="146">
        <v>81.680438896224999</v>
      </c>
      <c r="J51" s="146">
        <v>90.756043218027784</v>
      </c>
      <c r="K51" s="146">
        <v>102.10054862028126</v>
      </c>
      <c r="L51" s="146">
        <v>111.17615294208403</v>
      </c>
      <c r="M51" s="91"/>
      <c r="N51" s="145"/>
      <c r="O51" s="145"/>
      <c r="P51" s="145"/>
      <c r="Q51" s="145"/>
      <c r="R51" s="145"/>
      <c r="S51" s="145"/>
      <c r="T51" s="145"/>
      <c r="U51" s="145"/>
      <c r="V51" s="145"/>
      <c r="W51" s="145"/>
      <c r="X51" s="145"/>
    </row>
    <row r="52" spans="1:24" s="93" customFormat="1" ht="15" x14ac:dyDescent="0.2">
      <c r="A52" s="148"/>
      <c r="B52" s="147">
        <v>80</v>
      </c>
      <c r="C52" s="146">
        <v>27.226812965408335</v>
      </c>
      <c r="D52" s="146">
        <v>31.310834910219583</v>
      </c>
      <c r="E52" s="146">
        <v>32.672175558490004</v>
      </c>
      <c r="F52" s="146">
        <v>39.478878799842086</v>
      </c>
      <c r="G52" s="146">
        <v>47.011630386938386</v>
      </c>
      <c r="H52" s="146">
        <v>63.529230252619449</v>
      </c>
      <c r="I52" s="146">
        <v>84.630010300810909</v>
      </c>
      <c r="J52" s="146">
        <v>94.386284946748887</v>
      </c>
      <c r="K52" s="146">
        <v>104.36944970073195</v>
      </c>
      <c r="L52" s="146">
        <v>115.71395510298542</v>
      </c>
      <c r="M52" s="91"/>
      <c r="N52" s="145"/>
      <c r="O52" s="145"/>
      <c r="P52" s="145"/>
      <c r="Q52" s="145"/>
      <c r="R52" s="145"/>
      <c r="S52" s="145"/>
      <c r="T52" s="145"/>
      <c r="U52" s="145"/>
      <c r="V52" s="145"/>
      <c r="W52" s="145"/>
      <c r="X52" s="145"/>
    </row>
    <row r="53" spans="1:24" s="93" customFormat="1" ht="15" x14ac:dyDescent="0.2">
      <c r="A53" s="148"/>
      <c r="B53" s="147">
        <v>100</v>
      </c>
      <c r="C53" s="146">
        <v>31.310834910219583</v>
      </c>
      <c r="D53" s="146">
        <v>32.672175558490004</v>
      </c>
      <c r="E53" s="146">
        <v>34.033516206760417</v>
      </c>
      <c r="F53" s="146">
        <v>43.109120528563196</v>
      </c>
      <c r="G53" s="146">
        <v>50.505738050832463</v>
      </c>
      <c r="H53" s="146">
        <v>67.840142305475766</v>
      </c>
      <c r="I53" s="146">
        <v>89.93923882906553</v>
      </c>
      <c r="J53" s="146">
        <v>99.831647539830556</v>
      </c>
      <c r="K53" s="146">
        <v>111.17615294208403</v>
      </c>
      <c r="L53" s="146">
        <v>121.61309791215723</v>
      </c>
      <c r="M53" s="91"/>
      <c r="N53" s="145"/>
      <c r="O53" s="145"/>
      <c r="P53" s="145"/>
      <c r="Q53" s="145"/>
      <c r="R53" s="145"/>
      <c r="S53" s="145"/>
      <c r="T53" s="145"/>
      <c r="U53" s="145"/>
      <c r="V53" s="145"/>
      <c r="W53" s="145"/>
      <c r="X53" s="145"/>
    </row>
    <row r="54" spans="1:24" s="93" customFormat="1" ht="15" x14ac:dyDescent="0.2">
      <c r="A54" s="148"/>
      <c r="B54" s="147">
        <v>125</v>
      </c>
      <c r="C54" s="146">
        <v>34.033516206760417</v>
      </c>
      <c r="D54" s="146">
        <v>39.478878799842086</v>
      </c>
      <c r="E54" s="146">
        <v>43.109120528563196</v>
      </c>
      <c r="F54" s="146">
        <v>49.915823769915278</v>
      </c>
      <c r="G54" s="146">
        <v>54.635138017252729</v>
      </c>
      <c r="H54" s="146">
        <v>72.604834574422227</v>
      </c>
      <c r="I54" s="146">
        <v>95.293845378929177</v>
      </c>
      <c r="J54" s="146">
        <v>106.63835078118264</v>
      </c>
      <c r="K54" s="146">
        <v>117.98285618343611</v>
      </c>
      <c r="L54" s="146">
        <v>127.0584605052389</v>
      </c>
      <c r="M54" s="91"/>
      <c r="N54" s="145"/>
      <c r="O54" s="145"/>
      <c r="P54" s="145"/>
      <c r="Q54" s="145"/>
      <c r="R54" s="145"/>
      <c r="S54" s="145"/>
      <c r="T54" s="145"/>
      <c r="U54" s="145"/>
      <c r="V54" s="145"/>
      <c r="W54" s="145"/>
      <c r="X54" s="145"/>
    </row>
    <row r="55" spans="1:24" s="93" customFormat="1" ht="15" x14ac:dyDescent="0.2">
      <c r="A55" s="148"/>
      <c r="B55" s="147">
        <v>150</v>
      </c>
      <c r="C55" s="146">
        <v>37.209977719391389</v>
      </c>
      <c r="D55" s="146">
        <v>42.20156009638292</v>
      </c>
      <c r="E55" s="146">
        <v>45.378021609013892</v>
      </c>
      <c r="F55" s="146">
        <v>52.184724850365974</v>
      </c>
      <c r="G55" s="146">
        <v>58.764537983672987</v>
      </c>
      <c r="H55" s="146">
        <v>77.823307059458827</v>
      </c>
      <c r="I55" s="146">
        <v>102.28206070671732</v>
      </c>
      <c r="J55" s="146">
        <v>113.44505402253473</v>
      </c>
      <c r="K55" s="146">
        <v>124.78955942478819</v>
      </c>
      <c r="L55" s="146">
        <v>136.13406482704167</v>
      </c>
      <c r="M55" s="91"/>
      <c r="N55" s="145"/>
      <c r="O55" s="145"/>
      <c r="P55" s="145"/>
      <c r="Q55" s="145"/>
      <c r="R55" s="145"/>
      <c r="S55" s="145"/>
      <c r="T55" s="145"/>
      <c r="U55" s="145"/>
      <c r="V55" s="145"/>
      <c r="W55" s="145"/>
      <c r="X55" s="145"/>
    </row>
    <row r="56" spans="1:24" s="93" customFormat="1" ht="15" x14ac:dyDescent="0.2">
      <c r="A56" s="148"/>
      <c r="B56" s="147">
        <v>200</v>
      </c>
      <c r="C56" s="146">
        <v>45.378021609013892</v>
      </c>
      <c r="D56" s="146">
        <v>50.823384202095561</v>
      </c>
      <c r="E56" s="146">
        <v>54.453625930816671</v>
      </c>
      <c r="F56" s="146">
        <v>58.991428091718056</v>
      </c>
      <c r="G56" s="146">
        <v>66.93258187329549</v>
      </c>
      <c r="H56" s="146">
        <v>87.806471813441874</v>
      </c>
      <c r="I56" s="146">
        <v>113.89883423862487</v>
      </c>
      <c r="J56" s="146">
        <v>125.47022974892342</v>
      </c>
      <c r="K56" s="146">
        <v>136.13406482704167</v>
      </c>
      <c r="L56" s="146">
        <v>149.74747130974583</v>
      </c>
      <c r="M56" s="91"/>
      <c r="N56" s="145"/>
      <c r="O56" s="145"/>
      <c r="P56" s="145"/>
      <c r="Q56" s="145"/>
      <c r="R56" s="145"/>
      <c r="S56" s="145"/>
      <c r="T56" s="145"/>
      <c r="U56" s="145"/>
      <c r="V56" s="145"/>
      <c r="W56" s="145"/>
      <c r="X56" s="145"/>
    </row>
    <row r="57" spans="1:24" s="93" customFormat="1" ht="15" x14ac:dyDescent="0.2">
      <c r="A57" s="148"/>
      <c r="B57" s="147">
        <v>250</v>
      </c>
      <c r="C57" s="146">
        <v>54.453625930816671</v>
      </c>
      <c r="D57" s="146">
        <v>61.260329172168753</v>
      </c>
      <c r="E57" s="146">
        <v>63.529230252619449</v>
      </c>
      <c r="F57" s="146">
        <v>70.335933493971538</v>
      </c>
      <c r="G57" s="146">
        <v>75.236759827745033</v>
      </c>
      <c r="H57" s="146">
        <v>98.016526675470004</v>
      </c>
      <c r="I57" s="146">
        <v>126.15090007305862</v>
      </c>
      <c r="J57" s="146">
        <v>138.40296590749236</v>
      </c>
      <c r="K57" s="146">
        <v>149.74747130974583</v>
      </c>
      <c r="L57" s="146">
        <v>163.36087779245</v>
      </c>
      <c r="M57" s="91"/>
      <c r="N57" s="145"/>
      <c r="O57" s="145"/>
      <c r="P57" s="145"/>
      <c r="Q57" s="145"/>
      <c r="R57" s="145"/>
      <c r="S57" s="145"/>
      <c r="T57" s="145"/>
      <c r="U57" s="145"/>
      <c r="V57" s="145"/>
      <c r="W57" s="145"/>
      <c r="X57" s="145"/>
    </row>
    <row r="58" spans="1:24" s="93" customFormat="1" ht="15" x14ac:dyDescent="0.2">
      <c r="A58" s="148"/>
      <c r="B58" s="147">
        <v>300</v>
      </c>
      <c r="C58" s="146">
        <v>63.529230252619449</v>
      </c>
      <c r="D58" s="146">
        <v>68.067032413520835</v>
      </c>
      <c r="E58" s="146">
        <v>72.604834574422227</v>
      </c>
      <c r="F58" s="146">
        <v>77.596416951413758</v>
      </c>
      <c r="G58" s="146">
        <v>83.041779544495427</v>
      </c>
      <c r="H58" s="146">
        <v>107.31902110531786</v>
      </c>
      <c r="I58" s="146">
        <v>137.04162525922195</v>
      </c>
      <c r="J58" s="146">
        <v>149.74747130974583</v>
      </c>
      <c r="K58" s="146">
        <v>163.36087779245</v>
      </c>
      <c r="L58" s="146">
        <v>176.97428427515416</v>
      </c>
      <c r="M58" s="91"/>
      <c r="N58" s="145"/>
      <c r="O58" s="145"/>
      <c r="P58" s="145"/>
      <c r="Q58" s="145"/>
      <c r="R58" s="145"/>
      <c r="S58" s="145"/>
      <c r="T58" s="145"/>
      <c r="U58" s="145"/>
      <c r="V58" s="145"/>
      <c r="W58" s="145"/>
      <c r="X58" s="145"/>
    </row>
    <row r="59" spans="1:24" s="93" customFormat="1" ht="15" x14ac:dyDescent="0.2">
      <c r="A59" s="148"/>
      <c r="B59" s="147">
        <v>350</v>
      </c>
      <c r="C59" s="146">
        <v>71.697274142241952</v>
      </c>
      <c r="D59" s="146">
        <v>76.23507630314333</v>
      </c>
      <c r="E59" s="146">
        <v>79.411537815774309</v>
      </c>
      <c r="F59" s="146">
        <v>86.218241057126392</v>
      </c>
      <c r="G59" s="146">
        <v>89.394702569757371</v>
      </c>
      <c r="H59" s="146">
        <v>114.35261445471501</v>
      </c>
      <c r="I59" s="146">
        <v>145.20966914884445</v>
      </c>
      <c r="J59" s="146">
        <v>158.82307563154862</v>
      </c>
      <c r="K59" s="146">
        <v>174.70538319470347</v>
      </c>
      <c r="L59" s="146">
        <v>188.31878967740764</v>
      </c>
      <c r="M59" s="91"/>
      <c r="N59" s="145"/>
      <c r="O59" s="145"/>
      <c r="P59" s="145"/>
      <c r="Q59" s="145"/>
      <c r="R59" s="145"/>
      <c r="S59" s="145"/>
      <c r="T59" s="145"/>
      <c r="U59" s="145"/>
      <c r="V59" s="145"/>
      <c r="W59" s="145"/>
      <c r="X59" s="145"/>
    </row>
    <row r="60" spans="1:24" s="93" customFormat="1" ht="15" x14ac:dyDescent="0.2">
      <c r="A60" s="148"/>
      <c r="B60" s="147">
        <v>400</v>
      </c>
      <c r="C60" s="146">
        <v>77.14263673532362</v>
      </c>
      <c r="D60" s="146">
        <v>81.680438896224999</v>
      </c>
      <c r="E60" s="146">
        <v>86.218241057126392</v>
      </c>
      <c r="F60" s="146">
        <v>90.756043218027784</v>
      </c>
      <c r="G60" s="146">
        <v>97.562746459379866</v>
      </c>
      <c r="H60" s="146">
        <v>124.78955942478819</v>
      </c>
      <c r="I60" s="146">
        <v>158.82307563154862</v>
      </c>
      <c r="J60" s="146">
        <v>172.43648211425278</v>
      </c>
      <c r="K60" s="146">
        <v>188.31878967740764</v>
      </c>
      <c r="L60" s="146">
        <v>201.93219616011183</v>
      </c>
      <c r="M60" s="91"/>
      <c r="N60" s="145"/>
      <c r="O60" s="145"/>
      <c r="P60" s="145"/>
      <c r="Q60" s="145"/>
      <c r="R60" s="145"/>
      <c r="S60" s="145"/>
      <c r="T60" s="145"/>
      <c r="U60" s="145"/>
      <c r="V60" s="145"/>
      <c r="W60" s="145"/>
      <c r="X60" s="145"/>
    </row>
    <row r="61" spans="1:24" s="93" customFormat="1" ht="15" x14ac:dyDescent="0.2">
      <c r="A61" s="148"/>
      <c r="B61" s="147">
        <v>450</v>
      </c>
      <c r="C61" s="146"/>
      <c r="D61" s="146"/>
      <c r="E61" s="146">
        <v>97.562746459379866</v>
      </c>
      <c r="F61" s="146">
        <v>102.10054862028126</v>
      </c>
      <c r="G61" s="146">
        <v>106.1845705650925</v>
      </c>
      <c r="H61" s="146">
        <v>133.86516374659098</v>
      </c>
      <c r="I61" s="146">
        <v>170.16758103380209</v>
      </c>
      <c r="J61" s="146">
        <v>186.04988859695695</v>
      </c>
      <c r="K61" s="146">
        <v>199.66329507966111</v>
      </c>
      <c r="L61" s="146">
        <v>215.54560264281599</v>
      </c>
      <c r="M61" s="91"/>
      <c r="N61" s="145"/>
      <c r="O61" s="145"/>
      <c r="P61" s="145"/>
      <c r="Q61" s="145"/>
      <c r="R61" s="145"/>
      <c r="S61" s="145"/>
      <c r="T61" s="145"/>
      <c r="U61" s="145"/>
      <c r="V61" s="145"/>
      <c r="W61" s="145"/>
      <c r="X61" s="145"/>
    </row>
    <row r="62" spans="1:24" s="93" customFormat="1" ht="15" x14ac:dyDescent="0.2">
      <c r="A62" s="148"/>
      <c r="B62" s="147">
        <v>500</v>
      </c>
      <c r="C62" s="146"/>
      <c r="D62" s="146"/>
      <c r="E62" s="146">
        <v>104.36944970073195</v>
      </c>
      <c r="F62" s="146">
        <v>108.90725186163334</v>
      </c>
      <c r="G62" s="146">
        <v>114.57950456276008</v>
      </c>
      <c r="H62" s="146">
        <v>143.84832850057404</v>
      </c>
      <c r="I62" s="146">
        <v>183.78098751650626</v>
      </c>
      <c r="J62" s="146">
        <v>197.39439399921042</v>
      </c>
      <c r="K62" s="146">
        <v>213.27670156236528</v>
      </c>
      <c r="L62" s="146">
        <v>229.15900912552016</v>
      </c>
      <c r="M62" s="91"/>
      <c r="N62" s="145"/>
      <c r="O62" s="145"/>
      <c r="P62" s="145"/>
      <c r="Q62" s="145"/>
      <c r="R62" s="145"/>
      <c r="S62" s="145"/>
      <c r="T62" s="145"/>
      <c r="U62" s="145"/>
      <c r="V62" s="145"/>
      <c r="W62" s="145"/>
      <c r="X62" s="145"/>
    </row>
    <row r="63" spans="1:24" s="93" customFormat="1" ht="15" x14ac:dyDescent="0.2">
      <c r="A63" s="148"/>
      <c r="B63" s="147">
        <v>550</v>
      </c>
      <c r="C63" s="146"/>
      <c r="D63" s="146"/>
      <c r="E63" s="146">
        <v>113.44505402253473</v>
      </c>
      <c r="F63" s="146">
        <v>117.98285618343611</v>
      </c>
      <c r="G63" s="146">
        <v>122.52065834433751</v>
      </c>
      <c r="H63" s="146">
        <v>154.28527347064724</v>
      </c>
      <c r="I63" s="146">
        <v>195.12549291875973</v>
      </c>
      <c r="J63" s="146">
        <v>211.00780048191459</v>
      </c>
      <c r="K63" s="146">
        <v>226.89010804506947</v>
      </c>
      <c r="L63" s="146">
        <v>245.04131668867501</v>
      </c>
      <c r="M63" s="91"/>
      <c r="N63" s="145"/>
      <c r="O63" s="145"/>
      <c r="P63" s="145"/>
      <c r="Q63" s="145"/>
      <c r="R63" s="145"/>
      <c r="S63" s="145"/>
      <c r="T63" s="145"/>
      <c r="U63" s="145"/>
      <c r="V63" s="145"/>
      <c r="W63" s="145"/>
      <c r="X63" s="145"/>
    </row>
    <row r="64" spans="1:24" s="93" customFormat="1" ht="15" x14ac:dyDescent="0.2">
      <c r="A64" s="148"/>
      <c r="B64" s="147">
        <v>600</v>
      </c>
      <c r="C64" s="146"/>
      <c r="D64" s="146"/>
      <c r="E64" s="146">
        <v>120.25175726388682</v>
      </c>
      <c r="F64" s="146">
        <v>124.78955942478819</v>
      </c>
      <c r="G64" s="146">
        <v>131.59626266614029</v>
      </c>
      <c r="H64" s="146">
        <v>163.36087779245</v>
      </c>
      <c r="I64" s="146">
        <v>206.46999832101321</v>
      </c>
      <c r="J64" s="146">
        <v>224.62120696461875</v>
      </c>
      <c r="K64" s="146">
        <v>240.50351452777363</v>
      </c>
      <c r="L64" s="146">
        <v>258.6547231713792</v>
      </c>
      <c r="M64" s="91"/>
      <c r="N64" s="145"/>
      <c r="O64" s="145"/>
      <c r="P64" s="145"/>
      <c r="Q64" s="145"/>
      <c r="R64" s="145"/>
      <c r="S64" s="145"/>
      <c r="T64" s="145"/>
      <c r="U64" s="145"/>
      <c r="V64" s="145"/>
      <c r="W64" s="145"/>
      <c r="X64" s="145"/>
    </row>
    <row r="65" spans="1:24" s="93" customFormat="1" x14ac:dyDescent="0.2">
      <c r="A65" s="91"/>
      <c r="B65" s="91"/>
      <c r="C65" s="91"/>
      <c r="D65" s="91"/>
      <c r="E65" s="91"/>
      <c r="F65" s="91"/>
      <c r="G65" s="91"/>
      <c r="H65" s="91"/>
      <c r="I65" s="91"/>
      <c r="J65" s="91"/>
      <c r="K65" s="91"/>
      <c r="L65" s="91"/>
      <c r="M65" s="91"/>
      <c r="N65" s="145"/>
      <c r="O65" s="145"/>
      <c r="P65" s="145"/>
      <c r="Q65" s="145"/>
      <c r="R65" s="145"/>
      <c r="S65" s="145"/>
      <c r="T65" s="145"/>
      <c r="U65" s="145"/>
      <c r="V65" s="145"/>
      <c r="W65" s="145"/>
      <c r="X65" s="145"/>
    </row>
    <row r="66" spans="1:24" hidden="1" x14ac:dyDescent="0.2"/>
    <row r="67" spans="1:24" hidden="1" x14ac:dyDescent="0.2"/>
  </sheetData>
  <mergeCells count="6">
    <mergeCell ref="D42:E42"/>
    <mergeCell ref="E5:H5"/>
    <mergeCell ref="E6:H6"/>
    <mergeCell ref="E40:H40"/>
    <mergeCell ref="E41:H41"/>
    <mergeCell ref="D7:E7"/>
  </mergeCells>
  <conditionalFormatting sqref="C11:W35">
    <cfRule type="expression" dxfId="1" priority="1" stopIfTrue="1">
      <formula>IF(AND(ROW(C11)-ROW($B$10)=$I$5,COLUMN(C11)-COLUMN($B$10)=$I$6),1,0)</formula>
    </cfRule>
  </conditionalFormatting>
  <conditionalFormatting sqref="C46:L64">
    <cfRule type="expression" dxfId="0" priority="2" stopIfTrue="1">
      <formula>IF(AND(ROW(C46)-ROW($B$45)=$I$40,COLUMN(C46)-COLUMN($B$45)=$I$41),1,0)</formula>
    </cfRule>
  </conditionalFormatting>
  <dataValidations count="7">
    <dataValidation type="list" errorStyle="warning" allowBlank="1" showInputMessage="1" showErrorMessage="1" errorTitle="Please note:" error="The value doesn't match the listed values; the next lower value which yields a match will therefore be selected." sqref="D41 IZ41 SV41 ACR41 AMN41 AWJ41 BGF41 BQB41 BZX41 CJT41 CTP41 DDL41 DNH41 DXD41 EGZ41 EQV41 FAR41 FKN41 FUJ41 GEF41 GOB41 GXX41 HHT41 HRP41 IBL41 ILH41 IVD41 JEZ41 JOV41 JYR41 KIN41 KSJ41 LCF41 LMB41 LVX41 MFT41 MPP41 MZL41 NJH41 NTD41 OCZ41 OMV41 OWR41 PGN41 PQJ41 QAF41 QKB41 QTX41 RDT41 RNP41 RXL41 SHH41 SRD41 TAZ41 TKV41 TUR41 UEN41 UOJ41 UYF41 VIB41 VRX41 WBT41 WLP41 WVL41 D65577 IZ65577 SV65577 ACR65577 AMN65577 AWJ65577 BGF65577 BQB65577 BZX65577 CJT65577 CTP65577 DDL65577 DNH65577 DXD65577 EGZ65577 EQV65577 FAR65577 FKN65577 FUJ65577 GEF65577 GOB65577 GXX65577 HHT65577 HRP65577 IBL65577 ILH65577 IVD65577 JEZ65577 JOV65577 JYR65577 KIN65577 KSJ65577 LCF65577 LMB65577 LVX65577 MFT65577 MPP65577 MZL65577 NJH65577 NTD65577 OCZ65577 OMV65577 OWR65577 PGN65577 PQJ65577 QAF65577 QKB65577 QTX65577 RDT65577 RNP65577 RXL65577 SHH65577 SRD65577 TAZ65577 TKV65577 TUR65577 UEN65577 UOJ65577 UYF65577 VIB65577 VRX65577 WBT65577 WLP65577 WVL65577 D131113 IZ131113 SV131113 ACR131113 AMN131113 AWJ131113 BGF131113 BQB131113 BZX131113 CJT131113 CTP131113 DDL131113 DNH131113 DXD131113 EGZ131113 EQV131113 FAR131113 FKN131113 FUJ131113 GEF131113 GOB131113 GXX131113 HHT131113 HRP131113 IBL131113 ILH131113 IVD131113 JEZ131113 JOV131113 JYR131113 KIN131113 KSJ131113 LCF131113 LMB131113 LVX131113 MFT131113 MPP131113 MZL131113 NJH131113 NTD131113 OCZ131113 OMV131113 OWR131113 PGN131113 PQJ131113 QAF131113 QKB131113 QTX131113 RDT131113 RNP131113 RXL131113 SHH131113 SRD131113 TAZ131113 TKV131113 TUR131113 UEN131113 UOJ131113 UYF131113 VIB131113 VRX131113 WBT131113 WLP131113 WVL131113 D196649 IZ196649 SV196649 ACR196649 AMN196649 AWJ196649 BGF196649 BQB196649 BZX196649 CJT196649 CTP196649 DDL196649 DNH196649 DXD196649 EGZ196649 EQV196649 FAR196649 FKN196649 FUJ196649 GEF196649 GOB196649 GXX196649 HHT196649 HRP196649 IBL196649 ILH196649 IVD196649 JEZ196649 JOV196649 JYR196649 KIN196649 KSJ196649 LCF196649 LMB196649 LVX196649 MFT196649 MPP196649 MZL196649 NJH196649 NTD196649 OCZ196649 OMV196649 OWR196649 PGN196649 PQJ196649 QAF196649 QKB196649 QTX196649 RDT196649 RNP196649 RXL196649 SHH196649 SRD196649 TAZ196649 TKV196649 TUR196649 UEN196649 UOJ196649 UYF196649 VIB196649 VRX196649 WBT196649 WLP196649 WVL196649 D262185 IZ262185 SV262185 ACR262185 AMN262185 AWJ262185 BGF262185 BQB262185 BZX262185 CJT262185 CTP262185 DDL262185 DNH262185 DXD262185 EGZ262185 EQV262185 FAR262185 FKN262185 FUJ262185 GEF262185 GOB262185 GXX262185 HHT262185 HRP262185 IBL262185 ILH262185 IVD262185 JEZ262185 JOV262185 JYR262185 KIN262185 KSJ262185 LCF262185 LMB262185 LVX262185 MFT262185 MPP262185 MZL262185 NJH262185 NTD262185 OCZ262185 OMV262185 OWR262185 PGN262185 PQJ262185 QAF262185 QKB262185 QTX262185 RDT262185 RNP262185 RXL262185 SHH262185 SRD262185 TAZ262185 TKV262185 TUR262185 UEN262185 UOJ262185 UYF262185 VIB262185 VRX262185 WBT262185 WLP262185 WVL262185 D327721 IZ327721 SV327721 ACR327721 AMN327721 AWJ327721 BGF327721 BQB327721 BZX327721 CJT327721 CTP327721 DDL327721 DNH327721 DXD327721 EGZ327721 EQV327721 FAR327721 FKN327721 FUJ327721 GEF327721 GOB327721 GXX327721 HHT327721 HRP327721 IBL327721 ILH327721 IVD327721 JEZ327721 JOV327721 JYR327721 KIN327721 KSJ327721 LCF327721 LMB327721 LVX327721 MFT327721 MPP327721 MZL327721 NJH327721 NTD327721 OCZ327721 OMV327721 OWR327721 PGN327721 PQJ327721 QAF327721 QKB327721 QTX327721 RDT327721 RNP327721 RXL327721 SHH327721 SRD327721 TAZ327721 TKV327721 TUR327721 UEN327721 UOJ327721 UYF327721 VIB327721 VRX327721 WBT327721 WLP327721 WVL327721 D393257 IZ393257 SV393257 ACR393257 AMN393257 AWJ393257 BGF393257 BQB393257 BZX393257 CJT393257 CTP393257 DDL393257 DNH393257 DXD393257 EGZ393257 EQV393257 FAR393257 FKN393257 FUJ393257 GEF393257 GOB393257 GXX393257 HHT393257 HRP393257 IBL393257 ILH393257 IVD393257 JEZ393257 JOV393257 JYR393257 KIN393257 KSJ393257 LCF393257 LMB393257 LVX393257 MFT393257 MPP393257 MZL393257 NJH393257 NTD393257 OCZ393257 OMV393257 OWR393257 PGN393257 PQJ393257 QAF393257 QKB393257 QTX393257 RDT393257 RNP393257 RXL393257 SHH393257 SRD393257 TAZ393257 TKV393257 TUR393257 UEN393257 UOJ393257 UYF393257 VIB393257 VRX393257 WBT393257 WLP393257 WVL393257 D458793 IZ458793 SV458793 ACR458793 AMN458793 AWJ458793 BGF458793 BQB458793 BZX458793 CJT458793 CTP458793 DDL458793 DNH458793 DXD458793 EGZ458793 EQV458793 FAR458793 FKN458793 FUJ458793 GEF458793 GOB458793 GXX458793 HHT458793 HRP458793 IBL458793 ILH458793 IVD458793 JEZ458793 JOV458793 JYR458793 KIN458793 KSJ458793 LCF458793 LMB458793 LVX458793 MFT458793 MPP458793 MZL458793 NJH458793 NTD458793 OCZ458793 OMV458793 OWR458793 PGN458793 PQJ458793 QAF458793 QKB458793 QTX458793 RDT458793 RNP458793 RXL458793 SHH458793 SRD458793 TAZ458793 TKV458793 TUR458793 UEN458793 UOJ458793 UYF458793 VIB458793 VRX458793 WBT458793 WLP458793 WVL458793 D524329 IZ524329 SV524329 ACR524329 AMN524329 AWJ524329 BGF524329 BQB524329 BZX524329 CJT524329 CTP524329 DDL524329 DNH524329 DXD524329 EGZ524329 EQV524329 FAR524329 FKN524329 FUJ524329 GEF524329 GOB524329 GXX524329 HHT524329 HRP524329 IBL524329 ILH524329 IVD524329 JEZ524329 JOV524329 JYR524329 KIN524329 KSJ524329 LCF524329 LMB524329 LVX524329 MFT524329 MPP524329 MZL524329 NJH524329 NTD524329 OCZ524329 OMV524329 OWR524329 PGN524329 PQJ524329 QAF524329 QKB524329 QTX524329 RDT524329 RNP524329 RXL524329 SHH524329 SRD524329 TAZ524329 TKV524329 TUR524329 UEN524329 UOJ524329 UYF524329 VIB524329 VRX524329 WBT524329 WLP524329 WVL524329 D589865 IZ589865 SV589865 ACR589865 AMN589865 AWJ589865 BGF589865 BQB589865 BZX589865 CJT589865 CTP589865 DDL589865 DNH589865 DXD589865 EGZ589865 EQV589865 FAR589865 FKN589865 FUJ589865 GEF589865 GOB589865 GXX589865 HHT589865 HRP589865 IBL589865 ILH589865 IVD589865 JEZ589865 JOV589865 JYR589865 KIN589865 KSJ589865 LCF589865 LMB589865 LVX589865 MFT589865 MPP589865 MZL589865 NJH589865 NTD589865 OCZ589865 OMV589865 OWR589865 PGN589865 PQJ589865 QAF589865 QKB589865 QTX589865 RDT589865 RNP589865 RXL589865 SHH589865 SRD589865 TAZ589865 TKV589865 TUR589865 UEN589865 UOJ589865 UYF589865 VIB589865 VRX589865 WBT589865 WLP589865 WVL589865 D655401 IZ655401 SV655401 ACR655401 AMN655401 AWJ655401 BGF655401 BQB655401 BZX655401 CJT655401 CTP655401 DDL655401 DNH655401 DXD655401 EGZ655401 EQV655401 FAR655401 FKN655401 FUJ655401 GEF655401 GOB655401 GXX655401 HHT655401 HRP655401 IBL655401 ILH655401 IVD655401 JEZ655401 JOV655401 JYR655401 KIN655401 KSJ655401 LCF655401 LMB655401 LVX655401 MFT655401 MPP655401 MZL655401 NJH655401 NTD655401 OCZ655401 OMV655401 OWR655401 PGN655401 PQJ655401 QAF655401 QKB655401 QTX655401 RDT655401 RNP655401 RXL655401 SHH655401 SRD655401 TAZ655401 TKV655401 TUR655401 UEN655401 UOJ655401 UYF655401 VIB655401 VRX655401 WBT655401 WLP655401 WVL655401 D720937 IZ720937 SV720937 ACR720937 AMN720937 AWJ720937 BGF720937 BQB720937 BZX720937 CJT720937 CTP720937 DDL720937 DNH720937 DXD720937 EGZ720937 EQV720937 FAR720937 FKN720937 FUJ720937 GEF720937 GOB720937 GXX720937 HHT720937 HRP720937 IBL720937 ILH720937 IVD720937 JEZ720937 JOV720937 JYR720937 KIN720937 KSJ720937 LCF720937 LMB720937 LVX720937 MFT720937 MPP720937 MZL720937 NJH720937 NTD720937 OCZ720937 OMV720937 OWR720937 PGN720937 PQJ720937 QAF720937 QKB720937 QTX720937 RDT720937 RNP720937 RXL720937 SHH720937 SRD720937 TAZ720937 TKV720937 TUR720937 UEN720937 UOJ720937 UYF720937 VIB720937 VRX720937 WBT720937 WLP720937 WVL720937 D786473 IZ786473 SV786473 ACR786473 AMN786473 AWJ786473 BGF786473 BQB786473 BZX786473 CJT786473 CTP786473 DDL786473 DNH786473 DXD786473 EGZ786473 EQV786473 FAR786473 FKN786473 FUJ786473 GEF786473 GOB786473 GXX786473 HHT786473 HRP786473 IBL786473 ILH786473 IVD786473 JEZ786473 JOV786473 JYR786473 KIN786473 KSJ786473 LCF786473 LMB786473 LVX786473 MFT786473 MPP786473 MZL786473 NJH786473 NTD786473 OCZ786473 OMV786473 OWR786473 PGN786473 PQJ786473 QAF786473 QKB786473 QTX786473 RDT786473 RNP786473 RXL786473 SHH786473 SRD786473 TAZ786473 TKV786473 TUR786473 UEN786473 UOJ786473 UYF786473 VIB786473 VRX786473 WBT786473 WLP786473 WVL786473 D852009 IZ852009 SV852009 ACR852009 AMN852009 AWJ852009 BGF852009 BQB852009 BZX852009 CJT852009 CTP852009 DDL852009 DNH852009 DXD852009 EGZ852009 EQV852009 FAR852009 FKN852009 FUJ852009 GEF852009 GOB852009 GXX852009 HHT852009 HRP852009 IBL852009 ILH852009 IVD852009 JEZ852009 JOV852009 JYR852009 KIN852009 KSJ852009 LCF852009 LMB852009 LVX852009 MFT852009 MPP852009 MZL852009 NJH852009 NTD852009 OCZ852009 OMV852009 OWR852009 PGN852009 PQJ852009 QAF852009 QKB852009 QTX852009 RDT852009 RNP852009 RXL852009 SHH852009 SRD852009 TAZ852009 TKV852009 TUR852009 UEN852009 UOJ852009 UYF852009 VIB852009 VRX852009 WBT852009 WLP852009 WVL852009 D917545 IZ917545 SV917545 ACR917545 AMN917545 AWJ917545 BGF917545 BQB917545 BZX917545 CJT917545 CTP917545 DDL917545 DNH917545 DXD917545 EGZ917545 EQV917545 FAR917545 FKN917545 FUJ917545 GEF917545 GOB917545 GXX917545 HHT917545 HRP917545 IBL917545 ILH917545 IVD917545 JEZ917545 JOV917545 JYR917545 KIN917545 KSJ917545 LCF917545 LMB917545 LVX917545 MFT917545 MPP917545 MZL917545 NJH917545 NTD917545 OCZ917545 OMV917545 OWR917545 PGN917545 PQJ917545 QAF917545 QKB917545 QTX917545 RDT917545 RNP917545 RXL917545 SHH917545 SRD917545 TAZ917545 TKV917545 TUR917545 UEN917545 UOJ917545 UYF917545 VIB917545 VRX917545 WBT917545 WLP917545 WVL917545 D983081 IZ983081 SV983081 ACR983081 AMN983081 AWJ983081 BGF983081 BQB983081 BZX983081 CJT983081 CTP983081 DDL983081 DNH983081 DXD983081 EGZ983081 EQV983081 FAR983081 FKN983081 FUJ983081 GEF983081 GOB983081 GXX983081 HHT983081 HRP983081 IBL983081 ILH983081 IVD983081 JEZ983081 JOV983081 JYR983081 KIN983081 KSJ983081 LCF983081 LMB983081 LVX983081 MFT983081 MPP983081 MZL983081 NJH983081 NTD983081 OCZ983081 OMV983081 OWR983081 PGN983081 PQJ983081 QAF983081 QKB983081 QTX983081 RDT983081 RNP983081 RXL983081 SHH983081 SRD983081 TAZ983081 TKV983081 TUR983081 UEN983081 UOJ983081 UYF983081 VIB983081 VRX983081 WBT983081 WLP983081 WVL983081">
      <formula1>$C$45:$L$45</formula1>
    </dataValidation>
    <dataValidation type="list" errorStyle="warning" allowBlank="1" showInputMessage="1" showErrorMessage="1" errorTitle="Please note:" error="The value doesn't match the listed values; the next lower value which yields a match will therefore be selected." sqref="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6 IZ65576 SV65576 ACR65576 AMN65576 AWJ65576 BGF65576 BQB65576 BZX65576 CJT65576 CTP65576 DDL65576 DNH65576 DXD65576 EGZ65576 EQV65576 FAR65576 FKN65576 FUJ65576 GEF65576 GOB65576 GXX65576 HHT65576 HRP65576 IBL65576 ILH65576 IVD65576 JEZ65576 JOV65576 JYR65576 KIN65576 KSJ65576 LCF65576 LMB65576 LVX65576 MFT65576 MPP65576 MZL65576 NJH65576 NTD65576 OCZ65576 OMV65576 OWR65576 PGN65576 PQJ65576 QAF65576 QKB65576 QTX65576 RDT65576 RNP65576 RXL65576 SHH65576 SRD65576 TAZ65576 TKV65576 TUR65576 UEN65576 UOJ65576 UYF65576 VIB65576 VRX65576 WBT65576 WLP65576 WVL65576 D131112 IZ131112 SV131112 ACR131112 AMN131112 AWJ131112 BGF131112 BQB131112 BZX131112 CJT131112 CTP131112 DDL131112 DNH131112 DXD131112 EGZ131112 EQV131112 FAR131112 FKN131112 FUJ131112 GEF131112 GOB131112 GXX131112 HHT131112 HRP131112 IBL131112 ILH131112 IVD131112 JEZ131112 JOV131112 JYR131112 KIN131112 KSJ131112 LCF131112 LMB131112 LVX131112 MFT131112 MPP131112 MZL131112 NJH131112 NTD131112 OCZ131112 OMV131112 OWR131112 PGN131112 PQJ131112 QAF131112 QKB131112 QTX131112 RDT131112 RNP131112 RXL131112 SHH131112 SRD131112 TAZ131112 TKV131112 TUR131112 UEN131112 UOJ131112 UYF131112 VIB131112 VRX131112 WBT131112 WLP131112 WVL131112 D196648 IZ196648 SV196648 ACR196648 AMN196648 AWJ196648 BGF196648 BQB196648 BZX196648 CJT196648 CTP196648 DDL196648 DNH196648 DXD196648 EGZ196648 EQV196648 FAR196648 FKN196648 FUJ196648 GEF196648 GOB196648 GXX196648 HHT196648 HRP196648 IBL196648 ILH196648 IVD196648 JEZ196648 JOV196648 JYR196648 KIN196648 KSJ196648 LCF196648 LMB196648 LVX196648 MFT196648 MPP196648 MZL196648 NJH196648 NTD196648 OCZ196648 OMV196648 OWR196648 PGN196648 PQJ196648 QAF196648 QKB196648 QTX196648 RDT196648 RNP196648 RXL196648 SHH196648 SRD196648 TAZ196648 TKV196648 TUR196648 UEN196648 UOJ196648 UYF196648 VIB196648 VRX196648 WBT196648 WLP196648 WVL196648 D262184 IZ262184 SV262184 ACR262184 AMN262184 AWJ262184 BGF262184 BQB262184 BZX262184 CJT262184 CTP262184 DDL262184 DNH262184 DXD262184 EGZ262184 EQV262184 FAR262184 FKN262184 FUJ262184 GEF262184 GOB262184 GXX262184 HHT262184 HRP262184 IBL262184 ILH262184 IVD262184 JEZ262184 JOV262184 JYR262184 KIN262184 KSJ262184 LCF262184 LMB262184 LVX262184 MFT262184 MPP262184 MZL262184 NJH262184 NTD262184 OCZ262184 OMV262184 OWR262184 PGN262184 PQJ262184 QAF262184 QKB262184 QTX262184 RDT262184 RNP262184 RXL262184 SHH262184 SRD262184 TAZ262184 TKV262184 TUR262184 UEN262184 UOJ262184 UYF262184 VIB262184 VRX262184 WBT262184 WLP262184 WVL262184 D327720 IZ327720 SV327720 ACR327720 AMN327720 AWJ327720 BGF327720 BQB327720 BZX327720 CJT327720 CTP327720 DDL327720 DNH327720 DXD327720 EGZ327720 EQV327720 FAR327720 FKN327720 FUJ327720 GEF327720 GOB327720 GXX327720 HHT327720 HRP327720 IBL327720 ILH327720 IVD327720 JEZ327720 JOV327720 JYR327720 KIN327720 KSJ327720 LCF327720 LMB327720 LVX327720 MFT327720 MPP327720 MZL327720 NJH327720 NTD327720 OCZ327720 OMV327720 OWR327720 PGN327720 PQJ327720 QAF327720 QKB327720 QTX327720 RDT327720 RNP327720 RXL327720 SHH327720 SRD327720 TAZ327720 TKV327720 TUR327720 UEN327720 UOJ327720 UYF327720 VIB327720 VRX327720 WBT327720 WLP327720 WVL327720 D393256 IZ393256 SV393256 ACR393256 AMN393256 AWJ393256 BGF393256 BQB393256 BZX393256 CJT393256 CTP393256 DDL393256 DNH393256 DXD393256 EGZ393256 EQV393256 FAR393256 FKN393256 FUJ393256 GEF393256 GOB393256 GXX393256 HHT393256 HRP393256 IBL393256 ILH393256 IVD393256 JEZ393256 JOV393256 JYR393256 KIN393256 KSJ393256 LCF393256 LMB393256 LVX393256 MFT393256 MPP393256 MZL393256 NJH393256 NTD393256 OCZ393256 OMV393256 OWR393256 PGN393256 PQJ393256 QAF393256 QKB393256 QTX393256 RDT393256 RNP393256 RXL393256 SHH393256 SRD393256 TAZ393256 TKV393256 TUR393256 UEN393256 UOJ393256 UYF393256 VIB393256 VRX393256 WBT393256 WLP393256 WVL393256 D458792 IZ458792 SV458792 ACR458792 AMN458792 AWJ458792 BGF458792 BQB458792 BZX458792 CJT458792 CTP458792 DDL458792 DNH458792 DXD458792 EGZ458792 EQV458792 FAR458792 FKN458792 FUJ458792 GEF458792 GOB458792 GXX458792 HHT458792 HRP458792 IBL458792 ILH458792 IVD458792 JEZ458792 JOV458792 JYR458792 KIN458792 KSJ458792 LCF458792 LMB458792 LVX458792 MFT458792 MPP458792 MZL458792 NJH458792 NTD458792 OCZ458792 OMV458792 OWR458792 PGN458792 PQJ458792 QAF458792 QKB458792 QTX458792 RDT458792 RNP458792 RXL458792 SHH458792 SRD458792 TAZ458792 TKV458792 TUR458792 UEN458792 UOJ458792 UYF458792 VIB458792 VRX458792 WBT458792 WLP458792 WVL458792 D524328 IZ524328 SV524328 ACR524328 AMN524328 AWJ524328 BGF524328 BQB524328 BZX524328 CJT524328 CTP524328 DDL524328 DNH524328 DXD524328 EGZ524328 EQV524328 FAR524328 FKN524328 FUJ524328 GEF524328 GOB524328 GXX524328 HHT524328 HRP524328 IBL524328 ILH524328 IVD524328 JEZ524328 JOV524328 JYR524328 KIN524328 KSJ524328 LCF524328 LMB524328 LVX524328 MFT524328 MPP524328 MZL524328 NJH524328 NTD524328 OCZ524328 OMV524328 OWR524328 PGN524328 PQJ524328 QAF524328 QKB524328 QTX524328 RDT524328 RNP524328 RXL524328 SHH524328 SRD524328 TAZ524328 TKV524328 TUR524328 UEN524328 UOJ524328 UYF524328 VIB524328 VRX524328 WBT524328 WLP524328 WVL524328 D589864 IZ589864 SV589864 ACR589864 AMN589864 AWJ589864 BGF589864 BQB589864 BZX589864 CJT589864 CTP589864 DDL589864 DNH589864 DXD589864 EGZ589864 EQV589864 FAR589864 FKN589864 FUJ589864 GEF589864 GOB589864 GXX589864 HHT589864 HRP589864 IBL589864 ILH589864 IVD589864 JEZ589864 JOV589864 JYR589864 KIN589864 KSJ589864 LCF589864 LMB589864 LVX589864 MFT589864 MPP589864 MZL589864 NJH589864 NTD589864 OCZ589864 OMV589864 OWR589864 PGN589864 PQJ589864 QAF589864 QKB589864 QTX589864 RDT589864 RNP589864 RXL589864 SHH589864 SRD589864 TAZ589864 TKV589864 TUR589864 UEN589864 UOJ589864 UYF589864 VIB589864 VRX589864 WBT589864 WLP589864 WVL589864 D655400 IZ655400 SV655400 ACR655400 AMN655400 AWJ655400 BGF655400 BQB655400 BZX655400 CJT655400 CTP655400 DDL655400 DNH655400 DXD655400 EGZ655400 EQV655400 FAR655400 FKN655400 FUJ655400 GEF655400 GOB655400 GXX655400 HHT655400 HRP655400 IBL655400 ILH655400 IVD655400 JEZ655400 JOV655400 JYR655400 KIN655400 KSJ655400 LCF655400 LMB655400 LVX655400 MFT655400 MPP655400 MZL655400 NJH655400 NTD655400 OCZ655400 OMV655400 OWR655400 PGN655400 PQJ655400 QAF655400 QKB655400 QTX655400 RDT655400 RNP655400 RXL655400 SHH655400 SRD655400 TAZ655400 TKV655400 TUR655400 UEN655400 UOJ655400 UYF655400 VIB655400 VRX655400 WBT655400 WLP655400 WVL655400 D720936 IZ720936 SV720936 ACR720936 AMN720936 AWJ720936 BGF720936 BQB720936 BZX720936 CJT720936 CTP720936 DDL720936 DNH720936 DXD720936 EGZ720936 EQV720936 FAR720936 FKN720936 FUJ720936 GEF720936 GOB720936 GXX720936 HHT720936 HRP720936 IBL720936 ILH720936 IVD720936 JEZ720936 JOV720936 JYR720936 KIN720936 KSJ720936 LCF720936 LMB720936 LVX720936 MFT720936 MPP720936 MZL720936 NJH720936 NTD720936 OCZ720936 OMV720936 OWR720936 PGN720936 PQJ720936 QAF720936 QKB720936 QTX720936 RDT720936 RNP720936 RXL720936 SHH720936 SRD720936 TAZ720936 TKV720936 TUR720936 UEN720936 UOJ720936 UYF720936 VIB720936 VRX720936 WBT720936 WLP720936 WVL720936 D786472 IZ786472 SV786472 ACR786472 AMN786472 AWJ786472 BGF786472 BQB786472 BZX786472 CJT786472 CTP786472 DDL786472 DNH786472 DXD786472 EGZ786472 EQV786472 FAR786472 FKN786472 FUJ786472 GEF786472 GOB786472 GXX786472 HHT786472 HRP786472 IBL786472 ILH786472 IVD786472 JEZ786472 JOV786472 JYR786472 KIN786472 KSJ786472 LCF786472 LMB786472 LVX786472 MFT786472 MPP786472 MZL786472 NJH786472 NTD786472 OCZ786472 OMV786472 OWR786472 PGN786472 PQJ786472 QAF786472 QKB786472 QTX786472 RDT786472 RNP786472 RXL786472 SHH786472 SRD786472 TAZ786472 TKV786472 TUR786472 UEN786472 UOJ786472 UYF786472 VIB786472 VRX786472 WBT786472 WLP786472 WVL786472 D852008 IZ852008 SV852008 ACR852008 AMN852008 AWJ852008 BGF852008 BQB852008 BZX852008 CJT852008 CTP852008 DDL852008 DNH852008 DXD852008 EGZ852008 EQV852008 FAR852008 FKN852008 FUJ852008 GEF852008 GOB852008 GXX852008 HHT852008 HRP852008 IBL852008 ILH852008 IVD852008 JEZ852008 JOV852008 JYR852008 KIN852008 KSJ852008 LCF852008 LMB852008 LVX852008 MFT852008 MPP852008 MZL852008 NJH852008 NTD852008 OCZ852008 OMV852008 OWR852008 PGN852008 PQJ852008 QAF852008 QKB852008 QTX852008 RDT852008 RNP852008 RXL852008 SHH852008 SRD852008 TAZ852008 TKV852008 TUR852008 UEN852008 UOJ852008 UYF852008 VIB852008 VRX852008 WBT852008 WLP852008 WVL852008 D917544 IZ917544 SV917544 ACR917544 AMN917544 AWJ917544 BGF917544 BQB917544 BZX917544 CJT917544 CTP917544 DDL917544 DNH917544 DXD917544 EGZ917544 EQV917544 FAR917544 FKN917544 FUJ917544 GEF917544 GOB917544 GXX917544 HHT917544 HRP917544 IBL917544 ILH917544 IVD917544 JEZ917544 JOV917544 JYR917544 KIN917544 KSJ917544 LCF917544 LMB917544 LVX917544 MFT917544 MPP917544 MZL917544 NJH917544 NTD917544 OCZ917544 OMV917544 OWR917544 PGN917544 PQJ917544 QAF917544 QKB917544 QTX917544 RDT917544 RNP917544 RXL917544 SHH917544 SRD917544 TAZ917544 TKV917544 TUR917544 UEN917544 UOJ917544 UYF917544 VIB917544 VRX917544 WBT917544 WLP917544 WVL917544 D983080 IZ983080 SV983080 ACR983080 AMN983080 AWJ983080 BGF983080 BQB983080 BZX983080 CJT983080 CTP983080 DDL983080 DNH983080 DXD983080 EGZ983080 EQV983080 FAR983080 FKN983080 FUJ983080 GEF983080 GOB983080 GXX983080 HHT983080 HRP983080 IBL983080 ILH983080 IVD983080 JEZ983080 JOV983080 JYR983080 KIN983080 KSJ983080 LCF983080 LMB983080 LVX983080 MFT983080 MPP983080 MZL983080 NJH983080 NTD983080 OCZ983080 OMV983080 OWR983080 PGN983080 PQJ983080 QAF983080 QKB983080 QTX983080 RDT983080 RNP983080 RXL983080 SHH983080 SRD983080 TAZ983080 TKV983080 TUR983080 UEN983080 UOJ983080 UYF983080 VIB983080 VRX983080 WBT983080 WLP983080 WVL983080">
      <formula1>$B$46:$B$64</formula1>
    </dataValidation>
    <dataValidation errorStyle="warning" allowBlank="1" showInputMessage="1" showErrorMessage="1" sqref="WVQ983045 JE5 TA5 ACW5 AMS5 AWO5 BGK5 BQG5 CAC5 CJY5 CTU5 DDQ5 DNM5 DXI5 EHE5 ERA5 FAW5 FKS5 FUO5 GEK5 GOG5 GYC5 HHY5 HRU5 IBQ5 ILM5 IVI5 JFE5 JPA5 JYW5 KIS5 KSO5 LCK5 LMG5 LWC5 MFY5 MPU5 MZQ5 NJM5 NTI5 ODE5 ONA5 OWW5 PGS5 PQO5 QAK5 QKG5 QUC5 RDY5 RNU5 RXQ5 SHM5 SRI5 TBE5 TLA5 TUW5 UES5 UOO5 UYK5 VIG5 VSC5 WBY5 WLU5 WVQ5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dataValidation type="list" errorStyle="warning" allowBlank="1" showInputMessage="1" showErrorMessage="1" errorTitle="Please note:" error="The value doesn't match the listed values; the next lower value which yields a match will therefore be selected." sqref="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formula1>$C$10:$W$10</formula1>
    </dataValidation>
    <dataValidation type="list" errorStyle="warning" allowBlank="1" showInputMessage="1" showErrorMessage="1" errorTitle="Please note:" error="The value doesn't match the listed values; the next lower value which yields a match will therefore be selected." sqref="D5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formula1>$B$11:$B$35</formula1>
    </dataValidation>
    <dataValidation type="custom" showInputMessage="1" showErrorMessage="1" errorTitle="Data protection:" error="The data present in this sheet are protected in order to prevent unintentional changes in the source data which may corrupt the calculations." promptTitle="Diameter:" prompt="The diameter of the piping, exclusive insulation." sqref="B10 B45">
      <formula1>0</formula1>
    </dataValidation>
    <dataValidation type="custom" showInputMessage="1" showErrorMessage="1" errorTitle="Data protection:" error="The data present in this sheet are protected in order to prevent unintentional changes in the source data which may corrupt the calculations." sqref="A10 B40:B42 B46:B65 I10:I14 N15:T36 C46:M65 D45:G45 A36:D39 E36:M37 E38:H41 I38:M39 A45:A1048576 I40:I41 A43:G44 H42:I45 D42:G42 A40:A42 J40:M45 O1:S4 A11:E35 F15:M35 U15:X36 T1:X14 N5:S14 J5:J6 D7:J9 K7:M14 E5:I6 J10:J14 A5:C7 F10:H14 A8:C9 A1:N4">
      <formula1>0</formula1>
    </dataValidation>
  </dataValidations>
  <pageMargins left="0.75" right="0.75" top="1" bottom="1" header="0.5" footer="0.5"/>
  <pageSetup paperSize="9" orientation="portrait" horizontalDpi="4294967295" verticalDpi="4294967295"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W116"/>
  <sheetViews>
    <sheetView zoomScale="70" zoomScaleNormal="70" workbookViewId="0"/>
  </sheetViews>
  <sheetFormatPr defaultColWidth="0" defaultRowHeight="12.75" zeroHeight="1" x14ac:dyDescent="0.2"/>
  <cols>
    <col min="1" max="1" width="6.7109375" style="98" customWidth="1"/>
    <col min="2" max="37" width="6.28515625" style="98" customWidth="1"/>
    <col min="38" max="38" width="9.140625" style="98" customWidth="1"/>
    <col min="39" max="16384" width="9.140625" style="91" hidden="1"/>
  </cols>
  <sheetData>
    <row r="1" spans="1:37" x14ac:dyDescent="0.2">
      <c r="A1" s="199" t="s">
        <v>245</v>
      </c>
      <c r="H1" s="199" t="s">
        <v>244</v>
      </c>
      <c r="M1" s="199"/>
      <c r="AI1" s="98" t="s">
        <v>243</v>
      </c>
      <c r="AJ1" s="200" t="s">
        <v>242</v>
      </c>
    </row>
    <row r="2" spans="1:37" x14ac:dyDescent="0.2"/>
    <row r="3" spans="1:37" x14ac:dyDescent="0.2">
      <c r="A3" s="201" t="s">
        <v>239</v>
      </c>
      <c r="D3" s="201" t="s">
        <v>238</v>
      </c>
    </row>
    <row r="4" spans="1:37" x14ac:dyDescent="0.2">
      <c r="A4" s="196" t="s">
        <v>237</v>
      </c>
      <c r="B4" s="189">
        <v>1</v>
      </c>
      <c r="C4" s="189">
        <v>2</v>
      </c>
      <c r="D4" s="189">
        <v>3</v>
      </c>
      <c r="E4" s="189">
        <v>4</v>
      </c>
      <c r="F4" s="189">
        <v>5</v>
      </c>
      <c r="G4" s="189">
        <v>6</v>
      </c>
      <c r="H4" s="189">
        <v>7</v>
      </c>
      <c r="I4" s="189">
        <v>8</v>
      </c>
      <c r="J4" s="189">
        <v>9</v>
      </c>
      <c r="K4" s="189">
        <v>10</v>
      </c>
      <c r="L4" s="189">
        <v>11</v>
      </c>
      <c r="M4" s="189">
        <v>12</v>
      </c>
      <c r="N4" s="189">
        <v>13</v>
      </c>
      <c r="O4" s="189">
        <v>14</v>
      </c>
      <c r="P4" s="189">
        <v>15</v>
      </c>
      <c r="Q4" s="189">
        <v>16</v>
      </c>
      <c r="R4" s="189">
        <v>17</v>
      </c>
      <c r="S4" s="189">
        <v>18</v>
      </c>
      <c r="T4" s="189">
        <v>19</v>
      </c>
      <c r="U4" s="189">
        <v>20</v>
      </c>
      <c r="V4" s="189">
        <v>21</v>
      </c>
      <c r="W4" s="189">
        <v>22</v>
      </c>
      <c r="X4" s="189">
        <v>23</v>
      </c>
      <c r="Y4" s="189">
        <v>24</v>
      </c>
      <c r="Z4" s="189">
        <v>25</v>
      </c>
      <c r="AA4" s="189">
        <v>26</v>
      </c>
      <c r="AB4" s="189">
        <v>27</v>
      </c>
      <c r="AC4" s="189">
        <v>28</v>
      </c>
      <c r="AD4" s="189">
        <v>29</v>
      </c>
      <c r="AE4" s="189">
        <v>30</v>
      </c>
      <c r="AF4" s="189">
        <v>31</v>
      </c>
      <c r="AG4" s="189">
        <v>32</v>
      </c>
      <c r="AH4" s="189">
        <v>33</v>
      </c>
      <c r="AI4" s="189">
        <v>34</v>
      </c>
      <c r="AJ4" s="189">
        <v>35</v>
      </c>
      <c r="AK4" s="189">
        <v>36</v>
      </c>
    </row>
    <row r="5" spans="1:37" x14ac:dyDescent="0.2">
      <c r="A5" s="189">
        <v>1</v>
      </c>
      <c r="B5" s="195">
        <v>104.1</v>
      </c>
      <c r="C5" s="194">
        <v>104.28571428571428</v>
      </c>
      <c r="D5" s="194">
        <v>104.75714285714285</v>
      </c>
      <c r="E5" s="194">
        <v>106.11428571428571</v>
      </c>
      <c r="F5" s="194">
        <v>107.35714285714286</v>
      </c>
      <c r="G5" s="194">
        <v>109.48571428571429</v>
      </c>
      <c r="H5" s="194">
        <v>110.5</v>
      </c>
      <c r="I5" s="194">
        <v>122.4</v>
      </c>
      <c r="J5" s="194">
        <v>137.18571428571428</v>
      </c>
      <c r="K5" s="193">
        <v>151.85714285714286</v>
      </c>
      <c r="L5" s="195">
        <v>166.41428571428574</v>
      </c>
      <c r="M5" s="194">
        <v>180.85714285714289</v>
      </c>
      <c r="N5" s="194">
        <v>195.18571428571431</v>
      </c>
      <c r="O5" s="194">
        <v>209.4</v>
      </c>
      <c r="P5" s="194">
        <v>223.5</v>
      </c>
      <c r="Q5" s="194">
        <v>237.48571428571432</v>
      </c>
      <c r="R5" s="194">
        <v>251.35714285714289</v>
      </c>
      <c r="S5" s="194">
        <v>265.11428571428576</v>
      </c>
      <c r="T5" s="194">
        <v>278.75714285714292</v>
      </c>
      <c r="U5" s="193">
        <v>292.28571428571433</v>
      </c>
      <c r="V5" s="195">
        <v>305.7</v>
      </c>
      <c r="W5" s="194">
        <v>319</v>
      </c>
      <c r="X5" s="194">
        <v>332.18571428571437</v>
      </c>
      <c r="Y5" s="194">
        <v>345.25714285714298</v>
      </c>
      <c r="Z5" s="194">
        <v>358.21428571428584</v>
      </c>
      <c r="AA5" s="194">
        <v>371.05714285714299</v>
      </c>
      <c r="AB5" s="194">
        <v>383.78571428571439</v>
      </c>
      <c r="AC5" s="194">
        <v>396.4</v>
      </c>
      <c r="AD5" s="194">
        <v>408.9</v>
      </c>
      <c r="AE5" s="193">
        <v>421.28571428571445</v>
      </c>
      <c r="AF5" s="195">
        <v>433.55714285714305</v>
      </c>
      <c r="AG5" s="194">
        <v>445.71428571428589</v>
      </c>
      <c r="AH5" s="194">
        <v>457.75714285714304</v>
      </c>
      <c r="AI5" s="194">
        <v>469.68571428571448</v>
      </c>
      <c r="AJ5" s="194">
        <v>481.5</v>
      </c>
      <c r="AK5" s="193">
        <v>493.2</v>
      </c>
    </row>
    <row r="6" spans="1:37" x14ac:dyDescent="0.2">
      <c r="A6" s="189">
        <v>2</v>
      </c>
      <c r="B6" s="192">
        <v>104.4</v>
      </c>
      <c r="C6" s="191">
        <v>104.57142857142857</v>
      </c>
      <c r="D6" s="191">
        <v>105.51428571428571</v>
      </c>
      <c r="E6" s="191">
        <v>108.22857142857143</v>
      </c>
      <c r="F6" s="191">
        <v>114.71428571428572</v>
      </c>
      <c r="G6" s="191">
        <v>136.97142857142859</v>
      </c>
      <c r="H6" s="191">
        <v>159</v>
      </c>
      <c r="I6" s="191">
        <v>180.8</v>
      </c>
      <c r="J6" s="191">
        <v>202.37142857142859</v>
      </c>
      <c r="K6" s="190">
        <v>223.71428571428572</v>
      </c>
      <c r="L6" s="192">
        <v>244.82857142857145</v>
      </c>
      <c r="M6" s="191">
        <v>265.71428571428578</v>
      </c>
      <c r="N6" s="191">
        <v>286.37142857142862</v>
      </c>
      <c r="O6" s="191">
        <v>306.8</v>
      </c>
      <c r="P6" s="191">
        <v>327</v>
      </c>
      <c r="Q6" s="191">
        <v>346.97142857142865</v>
      </c>
      <c r="R6" s="191">
        <v>366.71428571428578</v>
      </c>
      <c r="S6" s="191">
        <v>386.22857142857151</v>
      </c>
      <c r="T6" s="191">
        <v>405.51428571428585</v>
      </c>
      <c r="U6" s="190">
        <v>424.57142857142867</v>
      </c>
      <c r="V6" s="192">
        <v>443.4</v>
      </c>
      <c r="W6" s="191">
        <v>462</v>
      </c>
      <c r="X6" s="191">
        <v>480.37142857142874</v>
      </c>
      <c r="Y6" s="191">
        <v>498.5142857142859</v>
      </c>
      <c r="Z6" s="191">
        <v>516.42857142857167</v>
      </c>
      <c r="AA6" s="191">
        <v>534.11428571428598</v>
      </c>
      <c r="AB6" s="191">
        <v>551.57142857142878</v>
      </c>
      <c r="AC6" s="191">
        <v>568.79999999999995</v>
      </c>
      <c r="AD6" s="191">
        <v>585.79999999999995</v>
      </c>
      <c r="AE6" s="190">
        <v>602.5714285714289</v>
      </c>
      <c r="AF6" s="192">
        <v>619.1142857142861</v>
      </c>
      <c r="AG6" s="191">
        <v>635.42857142857179</v>
      </c>
      <c r="AH6" s="191">
        <v>651.51428571428607</v>
      </c>
      <c r="AI6" s="191">
        <v>667.37142857142896</v>
      </c>
      <c r="AJ6" s="191">
        <v>683</v>
      </c>
      <c r="AK6" s="190">
        <v>698.4</v>
      </c>
    </row>
    <row r="7" spans="1:37" x14ac:dyDescent="0.2">
      <c r="A7" s="189">
        <v>3</v>
      </c>
      <c r="B7" s="192">
        <v>104.8</v>
      </c>
      <c r="C7" s="191">
        <v>106.25714285714285</v>
      </c>
      <c r="D7" s="191">
        <v>107.37142857142857</v>
      </c>
      <c r="E7" s="191">
        <v>113.14285714285714</v>
      </c>
      <c r="F7" s="191">
        <v>140.57142857142858</v>
      </c>
      <c r="G7" s="191">
        <v>167.65714285714287</v>
      </c>
      <c r="H7" s="191">
        <v>194.4</v>
      </c>
      <c r="I7" s="191">
        <v>220.8</v>
      </c>
      <c r="J7" s="191">
        <v>246.85714285714289</v>
      </c>
      <c r="K7" s="190">
        <v>272.57142857142861</v>
      </c>
      <c r="L7" s="192">
        <v>297.94285714285718</v>
      </c>
      <c r="M7" s="191">
        <v>322.97142857142865</v>
      </c>
      <c r="N7" s="191">
        <v>347.65714285714296</v>
      </c>
      <c r="O7" s="191">
        <v>372</v>
      </c>
      <c r="P7" s="191">
        <v>396</v>
      </c>
      <c r="Q7" s="191">
        <v>419.65714285714296</v>
      </c>
      <c r="R7" s="191">
        <v>442.9714285714287</v>
      </c>
      <c r="S7" s="191">
        <v>465.94285714285729</v>
      </c>
      <c r="T7" s="191">
        <v>488.57142857142878</v>
      </c>
      <c r="U7" s="190">
        <v>510.85714285714306</v>
      </c>
      <c r="V7" s="192">
        <v>532.79999999999995</v>
      </c>
      <c r="W7" s="191">
        <v>554.4</v>
      </c>
      <c r="X7" s="191">
        <v>575.65714285714319</v>
      </c>
      <c r="Y7" s="191">
        <v>596.5714285714289</v>
      </c>
      <c r="Z7" s="191">
        <v>617.14285714285745</v>
      </c>
      <c r="AA7" s="191">
        <v>637.37142857142896</v>
      </c>
      <c r="AB7" s="191">
        <v>657.25714285714321</v>
      </c>
      <c r="AC7" s="191">
        <v>676.8</v>
      </c>
      <c r="AD7" s="191">
        <v>696</v>
      </c>
      <c r="AE7" s="190">
        <v>714.85714285714334</v>
      </c>
      <c r="AF7" s="192">
        <v>733.37142857142908</v>
      </c>
      <c r="AG7" s="191">
        <v>751.54285714285766</v>
      </c>
      <c r="AH7" s="191">
        <v>769.37142857142919</v>
      </c>
      <c r="AI7" s="191">
        <v>786.85714285714346</v>
      </c>
      <c r="AJ7" s="191">
        <v>804.00000000000068</v>
      </c>
      <c r="AK7" s="190">
        <v>820.80000000000075</v>
      </c>
    </row>
    <row r="8" spans="1:37" x14ac:dyDescent="0.2">
      <c r="A8" s="189">
        <v>4</v>
      </c>
      <c r="B8" s="192">
        <v>104.8</v>
      </c>
      <c r="C8" s="191">
        <v>107.14285714285714</v>
      </c>
      <c r="D8" s="191">
        <v>112.02857142857142</v>
      </c>
      <c r="E8" s="191">
        <v>140.45714285714286</v>
      </c>
      <c r="F8" s="191">
        <v>174.42857142857144</v>
      </c>
      <c r="G8" s="191">
        <v>207.94285714285715</v>
      </c>
      <c r="H8" s="191">
        <v>241</v>
      </c>
      <c r="I8" s="191">
        <v>273.60000000000002</v>
      </c>
      <c r="J8" s="191">
        <v>305.74285714285719</v>
      </c>
      <c r="K8" s="190">
        <v>337.42857142857144</v>
      </c>
      <c r="L8" s="192">
        <v>368.6571428571429</v>
      </c>
      <c r="M8" s="191">
        <v>399.4285714285715</v>
      </c>
      <c r="N8" s="191">
        <v>429.74285714285725</v>
      </c>
      <c r="O8" s="191">
        <v>459.6</v>
      </c>
      <c r="P8" s="191">
        <v>489</v>
      </c>
      <c r="Q8" s="191">
        <v>517.94285714285729</v>
      </c>
      <c r="R8" s="191">
        <v>546.42857142857156</v>
      </c>
      <c r="S8" s="191">
        <v>574.45714285714303</v>
      </c>
      <c r="T8" s="191">
        <v>602.02857142857169</v>
      </c>
      <c r="U8" s="190">
        <v>629.14285714285734</v>
      </c>
      <c r="V8" s="192">
        <v>655.8</v>
      </c>
      <c r="W8" s="191">
        <v>682</v>
      </c>
      <c r="X8" s="191">
        <v>707.74285714285747</v>
      </c>
      <c r="Y8" s="191">
        <v>733.02857142857181</v>
      </c>
      <c r="Z8" s="191">
        <v>757.85714285714323</v>
      </c>
      <c r="AA8" s="191">
        <v>782.22857142857185</v>
      </c>
      <c r="AB8" s="191">
        <v>806.14285714285768</v>
      </c>
      <c r="AC8" s="191">
        <v>829.6</v>
      </c>
      <c r="AD8" s="191">
        <v>852.6</v>
      </c>
      <c r="AE8" s="190">
        <v>875.14285714285779</v>
      </c>
      <c r="AF8" s="192">
        <v>897.22857142857208</v>
      </c>
      <c r="AG8" s="191">
        <v>918.85714285714357</v>
      </c>
      <c r="AH8" s="191">
        <v>940.02857142857215</v>
      </c>
      <c r="AI8" s="191">
        <v>960.74285714285793</v>
      </c>
      <c r="AJ8" s="191">
        <v>981.00000000000091</v>
      </c>
      <c r="AK8" s="190">
        <v>1000.8</v>
      </c>
    </row>
    <row r="9" spans="1:37" x14ac:dyDescent="0.2">
      <c r="A9" s="189">
        <v>5</v>
      </c>
      <c r="B9" s="188">
        <v>104.5</v>
      </c>
      <c r="C9" s="187">
        <v>113.42857142857142</v>
      </c>
      <c r="D9" s="187">
        <v>122.78571428571428</v>
      </c>
      <c r="E9" s="187">
        <v>162.57142857142856</v>
      </c>
      <c r="F9" s="187">
        <v>201.78571428571428</v>
      </c>
      <c r="G9" s="187">
        <v>240.42857142857142</v>
      </c>
      <c r="H9" s="187">
        <v>278.5</v>
      </c>
      <c r="I9" s="187">
        <v>316</v>
      </c>
      <c r="J9" s="187">
        <v>352.92857142857144</v>
      </c>
      <c r="K9" s="186">
        <v>389.28571428571433</v>
      </c>
      <c r="L9" s="188">
        <v>425.07142857142861</v>
      </c>
      <c r="M9" s="187">
        <v>460.28571428571433</v>
      </c>
      <c r="N9" s="187">
        <v>494.9285714285715</v>
      </c>
      <c r="O9" s="187">
        <v>529</v>
      </c>
      <c r="P9" s="187">
        <v>562.5</v>
      </c>
      <c r="Q9" s="187">
        <v>595.42857142857156</v>
      </c>
      <c r="R9" s="187">
        <v>627.78571428571445</v>
      </c>
      <c r="S9" s="187">
        <v>659.57142857142878</v>
      </c>
      <c r="T9" s="187">
        <v>690.78571428571456</v>
      </c>
      <c r="U9" s="186">
        <v>721.42857142857167</v>
      </c>
      <c r="V9" s="188">
        <v>751.5</v>
      </c>
      <c r="W9" s="187">
        <v>781</v>
      </c>
      <c r="X9" s="187">
        <v>809.92857142857179</v>
      </c>
      <c r="Y9" s="187">
        <v>838.28571428571468</v>
      </c>
      <c r="Z9" s="187">
        <v>866.07142857142901</v>
      </c>
      <c r="AA9" s="187">
        <v>893.28571428571479</v>
      </c>
      <c r="AB9" s="187">
        <v>919.92857142857201</v>
      </c>
      <c r="AC9" s="187">
        <v>946</v>
      </c>
      <c r="AD9" s="187">
        <v>971.5</v>
      </c>
      <c r="AE9" s="186">
        <v>996.42857142857213</v>
      </c>
      <c r="AF9" s="188">
        <v>1020.785714285715</v>
      </c>
      <c r="AG9" s="187">
        <v>1044.5714285714294</v>
      </c>
      <c r="AH9" s="187">
        <v>1067.7857142857151</v>
      </c>
      <c r="AI9" s="187">
        <v>1090.4285714285725</v>
      </c>
      <c r="AJ9" s="187">
        <v>1112.5</v>
      </c>
      <c r="AK9" s="186">
        <v>1134</v>
      </c>
    </row>
    <row r="10" spans="1:37" x14ac:dyDescent="0.2">
      <c r="A10" s="189">
        <v>6</v>
      </c>
      <c r="B10" s="195">
        <v>105.4</v>
      </c>
      <c r="C10" s="194">
        <v>116.11428571428571</v>
      </c>
      <c r="D10" s="194">
        <v>140.14285714285714</v>
      </c>
      <c r="E10" s="194">
        <v>185.48571428571429</v>
      </c>
      <c r="F10" s="194">
        <v>230.14285714285714</v>
      </c>
      <c r="G10" s="194">
        <v>274.11428571428576</v>
      </c>
      <c r="H10" s="194">
        <v>317.39999999999998</v>
      </c>
      <c r="I10" s="194">
        <v>360</v>
      </c>
      <c r="J10" s="194">
        <v>401.91428571428577</v>
      </c>
      <c r="K10" s="193">
        <v>443.14285714285722</v>
      </c>
      <c r="L10" s="195">
        <v>483.68571428571437</v>
      </c>
      <c r="M10" s="194">
        <v>523.54285714285732</v>
      </c>
      <c r="N10" s="194">
        <v>562.71428571428589</v>
      </c>
      <c r="O10" s="194">
        <v>601.20000000000005</v>
      </c>
      <c r="P10" s="194">
        <v>639</v>
      </c>
      <c r="Q10" s="194">
        <v>676.11428571428598</v>
      </c>
      <c r="R10" s="194">
        <v>712.54285714285743</v>
      </c>
      <c r="S10" s="194">
        <v>748.28571428571456</v>
      </c>
      <c r="T10" s="194">
        <v>783.3428571428575</v>
      </c>
      <c r="U10" s="193">
        <v>817.71428571428612</v>
      </c>
      <c r="V10" s="195">
        <v>851.4</v>
      </c>
      <c r="W10" s="194">
        <v>884.4</v>
      </c>
      <c r="X10" s="194">
        <v>916.71428571428623</v>
      </c>
      <c r="Y10" s="194">
        <v>948.34285714285772</v>
      </c>
      <c r="Z10" s="194">
        <v>979.2857142857149</v>
      </c>
      <c r="AA10" s="194">
        <v>1009.5428571428579</v>
      </c>
      <c r="AB10" s="194">
        <v>1039.1142857142866</v>
      </c>
      <c r="AC10" s="194">
        <v>1068</v>
      </c>
      <c r="AD10" s="194">
        <v>1096.2</v>
      </c>
      <c r="AE10" s="193">
        <v>1123.7142857142867</v>
      </c>
      <c r="AF10" s="195">
        <v>1150.5428571428581</v>
      </c>
      <c r="AG10" s="194">
        <v>1176.6857142857154</v>
      </c>
      <c r="AH10" s="194">
        <v>1202.1428571428582</v>
      </c>
      <c r="AI10" s="194">
        <v>1226.914285714287</v>
      </c>
      <c r="AJ10" s="194">
        <v>1251</v>
      </c>
      <c r="AK10" s="193">
        <v>1274.4000000000001</v>
      </c>
    </row>
    <row r="11" spans="1:37" x14ac:dyDescent="0.2">
      <c r="A11" s="189">
        <v>7</v>
      </c>
      <c r="B11" s="192">
        <v>105.5</v>
      </c>
      <c r="C11" s="191">
        <v>117.2</v>
      </c>
      <c r="D11" s="191">
        <v>155.1</v>
      </c>
      <c r="E11" s="191">
        <v>205.2</v>
      </c>
      <c r="F11" s="191">
        <v>254.5</v>
      </c>
      <c r="G11" s="191">
        <v>303</v>
      </c>
      <c r="H11" s="191">
        <v>350.7</v>
      </c>
      <c r="I11" s="191">
        <v>397.6</v>
      </c>
      <c r="J11" s="191">
        <v>443.7</v>
      </c>
      <c r="K11" s="190">
        <v>489</v>
      </c>
      <c r="L11" s="192">
        <v>533.5</v>
      </c>
      <c r="M11" s="191">
        <v>577.20000000000005</v>
      </c>
      <c r="N11" s="191">
        <v>620.1</v>
      </c>
      <c r="O11" s="191">
        <v>662.2</v>
      </c>
      <c r="P11" s="191">
        <v>703.5</v>
      </c>
      <c r="Q11" s="191">
        <v>744</v>
      </c>
      <c r="R11" s="191">
        <v>783.7</v>
      </c>
      <c r="S11" s="191">
        <v>822.6</v>
      </c>
      <c r="T11" s="191">
        <v>860.7</v>
      </c>
      <c r="U11" s="190">
        <v>898</v>
      </c>
      <c r="V11" s="192">
        <v>934.5</v>
      </c>
      <c r="W11" s="191">
        <v>970.2</v>
      </c>
      <c r="X11" s="191">
        <v>1005.1</v>
      </c>
      <c r="Y11" s="191">
        <v>1039.2</v>
      </c>
      <c r="Z11" s="191">
        <v>1072.5</v>
      </c>
      <c r="AA11" s="191">
        <v>1105</v>
      </c>
      <c r="AB11" s="191">
        <v>1136.7</v>
      </c>
      <c r="AC11" s="191">
        <v>1167.5999999999999</v>
      </c>
      <c r="AD11" s="191">
        <v>1197.7</v>
      </c>
      <c r="AE11" s="190">
        <v>1227</v>
      </c>
      <c r="AF11" s="192">
        <v>1255.5</v>
      </c>
      <c r="AG11" s="191">
        <v>1283.2</v>
      </c>
      <c r="AH11" s="191">
        <v>1310.0999999999999</v>
      </c>
      <c r="AI11" s="191">
        <v>1336.2</v>
      </c>
      <c r="AJ11" s="191">
        <v>1361.5</v>
      </c>
      <c r="AK11" s="190">
        <v>1386</v>
      </c>
    </row>
    <row r="12" spans="1:37" x14ac:dyDescent="0.2">
      <c r="A12" s="189">
        <v>8</v>
      </c>
      <c r="B12" s="192">
        <v>105.6</v>
      </c>
      <c r="C12" s="191">
        <v>119.28571428571429</v>
      </c>
      <c r="D12" s="191">
        <v>170.05714285714288</v>
      </c>
      <c r="E12" s="191">
        <v>224.91428571428574</v>
      </c>
      <c r="F12" s="191">
        <v>278.85714285714289</v>
      </c>
      <c r="G12" s="191">
        <v>331.88571428571436</v>
      </c>
      <c r="H12" s="191">
        <v>384</v>
      </c>
      <c r="I12" s="191">
        <v>435.2</v>
      </c>
      <c r="J12" s="191">
        <v>485.48571428571444</v>
      </c>
      <c r="K12" s="190">
        <v>534.857142857143</v>
      </c>
      <c r="L12" s="192">
        <v>583.31428571428592</v>
      </c>
      <c r="M12" s="191">
        <v>630.85714285714312</v>
      </c>
      <c r="N12" s="191">
        <v>677.48571428571461</v>
      </c>
      <c r="O12" s="191">
        <v>723.2</v>
      </c>
      <c r="P12" s="191">
        <v>768</v>
      </c>
      <c r="Q12" s="191">
        <v>811.8857142857147</v>
      </c>
      <c r="R12" s="191">
        <v>854.85714285714334</v>
      </c>
      <c r="S12" s="191">
        <v>896.91428571428628</v>
      </c>
      <c r="T12" s="191">
        <v>938.05714285714339</v>
      </c>
      <c r="U12" s="190">
        <v>978.2857142857149</v>
      </c>
      <c r="V12" s="192">
        <v>1017.6</v>
      </c>
      <c r="W12" s="191">
        <v>1056</v>
      </c>
      <c r="X12" s="191">
        <v>1093.4857142857152</v>
      </c>
      <c r="Y12" s="191">
        <v>1130.0571428571438</v>
      </c>
      <c r="Z12" s="191">
        <v>1165.7142857142867</v>
      </c>
      <c r="AA12" s="191">
        <v>1200.4571428571439</v>
      </c>
      <c r="AB12" s="191">
        <v>1234.2857142857154</v>
      </c>
      <c r="AC12" s="191">
        <v>1267.2</v>
      </c>
      <c r="AD12" s="191">
        <v>1299.2</v>
      </c>
      <c r="AE12" s="190">
        <v>1330.2857142857158</v>
      </c>
      <c r="AF12" s="192">
        <v>1360.4571428571444</v>
      </c>
      <c r="AG12" s="191">
        <v>1389.7142857142874</v>
      </c>
      <c r="AH12" s="191">
        <v>1418.0571428571445</v>
      </c>
      <c r="AI12" s="191">
        <v>1445.4857142857161</v>
      </c>
      <c r="AJ12" s="191">
        <v>1472</v>
      </c>
      <c r="AK12" s="190">
        <v>1497.6</v>
      </c>
    </row>
    <row r="13" spans="1:37" x14ac:dyDescent="0.2">
      <c r="A13" s="189">
        <v>9</v>
      </c>
      <c r="B13" s="192">
        <v>105.9</v>
      </c>
      <c r="C13" s="191">
        <v>126.77142857142859</v>
      </c>
      <c r="D13" s="191">
        <v>188.61428571428573</v>
      </c>
      <c r="E13" s="191">
        <v>249.42857142857147</v>
      </c>
      <c r="F13" s="191">
        <v>309.21428571428578</v>
      </c>
      <c r="G13" s="191">
        <v>367.97142857142865</v>
      </c>
      <c r="H13" s="191">
        <v>425.7</v>
      </c>
      <c r="I13" s="191">
        <v>482.4</v>
      </c>
      <c r="J13" s="191">
        <v>538.07142857142878</v>
      </c>
      <c r="K13" s="190">
        <v>592.71428571428589</v>
      </c>
      <c r="L13" s="192">
        <v>646.32857142857165</v>
      </c>
      <c r="M13" s="191">
        <v>698.91428571428605</v>
      </c>
      <c r="N13" s="191">
        <v>750.47142857142887</v>
      </c>
      <c r="O13" s="191">
        <v>801</v>
      </c>
      <c r="P13" s="191">
        <v>850.5</v>
      </c>
      <c r="Q13" s="191">
        <v>898.9714285714291</v>
      </c>
      <c r="R13" s="191">
        <v>946.41428571428628</v>
      </c>
      <c r="S13" s="191">
        <v>992.8285714285721</v>
      </c>
      <c r="T13" s="191">
        <v>1038.2142857142865</v>
      </c>
      <c r="U13" s="190">
        <v>1082.5714285714294</v>
      </c>
      <c r="V13" s="192">
        <v>1125.9000000000001</v>
      </c>
      <c r="W13" s="191">
        <v>1168.2</v>
      </c>
      <c r="X13" s="191">
        <v>1209.4714285714297</v>
      </c>
      <c r="Y13" s="191">
        <v>1249.7142857142869</v>
      </c>
      <c r="Z13" s="191">
        <v>1288.9285714285727</v>
      </c>
      <c r="AA13" s="191">
        <v>1327.114285714287</v>
      </c>
      <c r="AB13" s="191">
        <v>1364.2714285714301</v>
      </c>
      <c r="AC13" s="191">
        <v>1400.4</v>
      </c>
      <c r="AD13" s="191">
        <v>1435.5</v>
      </c>
      <c r="AE13" s="190">
        <v>1469.5714285714303</v>
      </c>
      <c r="AF13" s="192">
        <v>1502.6142857142875</v>
      </c>
      <c r="AG13" s="191">
        <v>1534.6285714285734</v>
      </c>
      <c r="AH13" s="191">
        <v>1565.6142857142877</v>
      </c>
      <c r="AI13" s="191">
        <v>1595.5714285714307</v>
      </c>
      <c r="AJ13" s="191">
        <v>1624.5</v>
      </c>
      <c r="AK13" s="190">
        <v>1652.4</v>
      </c>
    </row>
    <row r="14" spans="1:37" x14ac:dyDescent="0.2">
      <c r="A14" s="189">
        <v>10</v>
      </c>
      <c r="B14" s="188">
        <v>106.5</v>
      </c>
      <c r="C14" s="187">
        <v>139.85714285714286</v>
      </c>
      <c r="D14" s="187">
        <v>208.07142857142858</v>
      </c>
      <c r="E14" s="187">
        <v>275.14285714285717</v>
      </c>
      <c r="F14" s="187">
        <v>341.07142857142861</v>
      </c>
      <c r="G14" s="187">
        <v>405.85714285714289</v>
      </c>
      <c r="H14" s="187">
        <v>469.5</v>
      </c>
      <c r="I14" s="187">
        <v>532</v>
      </c>
      <c r="J14" s="187">
        <v>593.357142857143</v>
      </c>
      <c r="K14" s="186">
        <v>653.57142857142878</v>
      </c>
      <c r="L14" s="188">
        <v>712.64285714285734</v>
      </c>
      <c r="M14" s="187">
        <v>770.57142857142878</v>
      </c>
      <c r="N14" s="187">
        <v>827.35714285714312</v>
      </c>
      <c r="O14" s="187">
        <v>883</v>
      </c>
      <c r="P14" s="187">
        <v>937.5</v>
      </c>
      <c r="Q14" s="187">
        <v>990.85714285714334</v>
      </c>
      <c r="R14" s="187">
        <v>1043.0714285714291</v>
      </c>
      <c r="S14" s="187">
        <v>1094.1428571428578</v>
      </c>
      <c r="T14" s="187">
        <v>1144.0714285714291</v>
      </c>
      <c r="U14" s="186">
        <v>1192.8571428571436</v>
      </c>
      <c r="V14" s="188">
        <v>1240.5</v>
      </c>
      <c r="W14" s="187">
        <v>1287</v>
      </c>
      <c r="X14" s="187">
        <v>1332.3571428571438</v>
      </c>
      <c r="Y14" s="187">
        <v>1376.5714285714296</v>
      </c>
      <c r="Z14" s="187">
        <v>1419.6428571428582</v>
      </c>
      <c r="AA14" s="187">
        <v>1461.5714285714298</v>
      </c>
      <c r="AB14" s="187">
        <v>1502.3571428571443</v>
      </c>
      <c r="AC14" s="187">
        <v>1542</v>
      </c>
      <c r="AD14" s="187">
        <v>1580.5</v>
      </c>
      <c r="AE14" s="186">
        <v>1617.8571428571445</v>
      </c>
      <c r="AF14" s="188">
        <v>1654.0714285714305</v>
      </c>
      <c r="AG14" s="187">
        <v>1689.1428571428592</v>
      </c>
      <c r="AH14" s="187">
        <v>1723.0714285714307</v>
      </c>
      <c r="AI14" s="187">
        <v>1755.8571428571452</v>
      </c>
      <c r="AJ14" s="187">
        <v>1787.5</v>
      </c>
      <c r="AK14" s="186">
        <v>1818</v>
      </c>
    </row>
    <row r="15" spans="1:37" x14ac:dyDescent="0.2">
      <c r="A15" s="189">
        <v>11</v>
      </c>
      <c r="B15" s="195">
        <v>108</v>
      </c>
      <c r="C15" s="194">
        <v>152.74285714285713</v>
      </c>
      <c r="D15" s="194">
        <v>227.22857142857146</v>
      </c>
      <c r="E15" s="194">
        <v>300.45714285714291</v>
      </c>
      <c r="F15" s="194">
        <v>372.42857142857144</v>
      </c>
      <c r="G15" s="194">
        <v>443.14285714285722</v>
      </c>
      <c r="H15" s="194">
        <v>512.6</v>
      </c>
      <c r="I15" s="194">
        <v>580.79999999999995</v>
      </c>
      <c r="J15" s="194">
        <v>647.74285714285725</v>
      </c>
      <c r="K15" s="193">
        <v>713.42857142857167</v>
      </c>
      <c r="L15" s="195">
        <v>777.85714285714312</v>
      </c>
      <c r="M15" s="194">
        <v>841.02857142857169</v>
      </c>
      <c r="N15" s="194">
        <v>902.94285714285752</v>
      </c>
      <c r="O15" s="194">
        <v>963.6</v>
      </c>
      <c r="P15" s="194">
        <v>1023</v>
      </c>
      <c r="Q15" s="194">
        <v>1081.1428571428578</v>
      </c>
      <c r="R15" s="194">
        <v>1138.0285714285719</v>
      </c>
      <c r="S15" s="194">
        <v>1193.6571428571435</v>
      </c>
      <c r="T15" s="194">
        <v>1248.0285714285721</v>
      </c>
      <c r="U15" s="193">
        <v>1301.142857142858</v>
      </c>
      <c r="V15" s="195">
        <v>1353</v>
      </c>
      <c r="W15" s="194">
        <v>1403.6</v>
      </c>
      <c r="X15" s="194">
        <v>1452.9428571428582</v>
      </c>
      <c r="Y15" s="194">
        <v>1501.0285714285726</v>
      </c>
      <c r="Z15" s="194">
        <v>1547.8571428571443</v>
      </c>
      <c r="AA15" s="194">
        <v>1593.4285714285729</v>
      </c>
      <c r="AB15" s="194">
        <v>1637.7428571428586</v>
      </c>
      <c r="AC15" s="194">
        <v>1680.8</v>
      </c>
      <c r="AD15" s="194">
        <v>1722.6</v>
      </c>
      <c r="AE15" s="193">
        <v>1763.1428571428592</v>
      </c>
      <c r="AF15" s="195">
        <v>1802.4285714285736</v>
      </c>
      <c r="AG15" s="194">
        <v>1840.4571428571451</v>
      </c>
      <c r="AH15" s="194">
        <v>1877.2285714285738</v>
      </c>
      <c r="AI15" s="194">
        <v>1912.7428571428597</v>
      </c>
      <c r="AJ15" s="194">
        <v>1947</v>
      </c>
      <c r="AK15" s="193">
        <v>1980</v>
      </c>
    </row>
    <row r="16" spans="1:37" x14ac:dyDescent="0.2">
      <c r="A16" s="189">
        <v>12</v>
      </c>
      <c r="B16" s="192">
        <v>109.6</v>
      </c>
      <c r="C16" s="191">
        <v>167.82857142857142</v>
      </c>
      <c r="D16" s="191">
        <v>249.68571428571428</v>
      </c>
      <c r="E16" s="191">
        <v>330.17142857142858</v>
      </c>
      <c r="F16" s="191">
        <v>409.28571428571433</v>
      </c>
      <c r="G16" s="191">
        <v>487.02857142857147</v>
      </c>
      <c r="H16" s="191">
        <v>563.4</v>
      </c>
      <c r="I16" s="191">
        <v>638.4</v>
      </c>
      <c r="J16" s="191">
        <v>712.02857142857158</v>
      </c>
      <c r="K16" s="190">
        <v>784.28571428571445</v>
      </c>
      <c r="L16" s="192">
        <v>855.17142857142881</v>
      </c>
      <c r="M16" s="191">
        <v>924.68571428571454</v>
      </c>
      <c r="N16" s="191">
        <v>992.82857142857176</v>
      </c>
      <c r="O16" s="191">
        <v>1059.5999999999999</v>
      </c>
      <c r="P16" s="191">
        <v>1125</v>
      </c>
      <c r="Q16" s="191">
        <v>1189.0285714285719</v>
      </c>
      <c r="R16" s="191">
        <v>1251.685714285715</v>
      </c>
      <c r="S16" s="191">
        <v>1312.9714285714292</v>
      </c>
      <c r="T16" s="191">
        <v>1372.885714285715</v>
      </c>
      <c r="U16" s="190">
        <v>1431.4285714285722</v>
      </c>
      <c r="V16" s="192">
        <v>1488.6</v>
      </c>
      <c r="W16" s="191">
        <v>1544.4</v>
      </c>
      <c r="X16" s="191">
        <v>1598.8285714285726</v>
      </c>
      <c r="Y16" s="191">
        <v>1651.8857142857155</v>
      </c>
      <c r="Z16" s="191">
        <v>1703.57142857143</v>
      </c>
      <c r="AA16" s="191">
        <v>1753.8857142857157</v>
      </c>
      <c r="AB16" s="191">
        <v>1802.828571428573</v>
      </c>
      <c r="AC16" s="191">
        <v>1850.4</v>
      </c>
      <c r="AD16" s="191">
        <v>1896.6</v>
      </c>
      <c r="AE16" s="190">
        <v>1941.4285714285734</v>
      </c>
      <c r="AF16" s="192">
        <v>1984.8857142857164</v>
      </c>
      <c r="AG16" s="191">
        <v>2026.9714285714308</v>
      </c>
      <c r="AH16" s="191">
        <v>2067.6857142857166</v>
      </c>
      <c r="AI16" s="191">
        <v>2107.0285714285742</v>
      </c>
      <c r="AJ16" s="191">
        <v>2145</v>
      </c>
      <c r="AK16" s="190">
        <v>2181.6</v>
      </c>
    </row>
    <row r="17" spans="1:37" x14ac:dyDescent="0.2">
      <c r="A17" s="189">
        <v>13</v>
      </c>
      <c r="B17" s="192">
        <v>110.3</v>
      </c>
      <c r="C17" s="191">
        <v>183.11428571428573</v>
      </c>
      <c r="D17" s="191">
        <v>272.44285714285718</v>
      </c>
      <c r="E17" s="191">
        <v>360.28571428571433</v>
      </c>
      <c r="F17" s="191">
        <v>446.64285714285722</v>
      </c>
      <c r="G17" s="191">
        <v>531.51428571428585</v>
      </c>
      <c r="H17" s="191">
        <v>614.9</v>
      </c>
      <c r="I17" s="191">
        <v>696.8</v>
      </c>
      <c r="J17" s="191">
        <v>777.21428571428601</v>
      </c>
      <c r="K17" s="190">
        <v>856.14285714285745</v>
      </c>
      <c r="L17" s="192">
        <v>933.58571428571463</v>
      </c>
      <c r="M17" s="191">
        <v>1009.5428571428575</v>
      </c>
      <c r="N17" s="191">
        <v>1084.0142857142862</v>
      </c>
      <c r="O17" s="191">
        <v>1157</v>
      </c>
      <c r="P17" s="191">
        <v>1228.5</v>
      </c>
      <c r="Q17" s="191">
        <v>1298.5142857142864</v>
      </c>
      <c r="R17" s="191">
        <v>1367.0428571428579</v>
      </c>
      <c r="S17" s="191">
        <v>1434.0857142857153</v>
      </c>
      <c r="T17" s="191">
        <v>1499.6428571428582</v>
      </c>
      <c r="U17" s="190">
        <v>1563.7142857142869</v>
      </c>
      <c r="V17" s="192">
        <v>1626.3</v>
      </c>
      <c r="W17" s="191">
        <v>1687.4</v>
      </c>
      <c r="X17" s="191">
        <v>1747.0142857142871</v>
      </c>
      <c r="Y17" s="191">
        <v>1805.1428571428587</v>
      </c>
      <c r="Z17" s="191">
        <v>1861.785714285716</v>
      </c>
      <c r="AA17" s="191">
        <v>1916.9428571428591</v>
      </c>
      <c r="AB17" s="191">
        <v>1970.6142857142877</v>
      </c>
      <c r="AC17" s="191">
        <v>2022.8</v>
      </c>
      <c r="AD17" s="191">
        <v>2073.5</v>
      </c>
      <c r="AE17" s="190">
        <v>2122.7142857142881</v>
      </c>
      <c r="AF17" s="192">
        <v>2170.4428571428598</v>
      </c>
      <c r="AG17" s="191">
        <v>2216.685714285717</v>
      </c>
      <c r="AH17" s="191">
        <v>2261.4428571428602</v>
      </c>
      <c r="AI17" s="191">
        <v>2304.714285714289</v>
      </c>
      <c r="AJ17" s="191">
        <v>2346.5</v>
      </c>
      <c r="AK17" s="190">
        <v>2386.8000000000002</v>
      </c>
    </row>
    <row r="18" spans="1:37" x14ac:dyDescent="0.2">
      <c r="A18" s="189">
        <v>14</v>
      </c>
      <c r="B18" s="192">
        <v>112.1</v>
      </c>
      <c r="C18" s="191">
        <v>198.6</v>
      </c>
      <c r="D18" s="191">
        <v>295.5</v>
      </c>
      <c r="E18" s="191">
        <v>390.8</v>
      </c>
      <c r="F18" s="191">
        <v>484.5</v>
      </c>
      <c r="G18" s="191">
        <v>576.6</v>
      </c>
      <c r="H18" s="191">
        <v>667.1</v>
      </c>
      <c r="I18" s="191">
        <v>756</v>
      </c>
      <c r="J18" s="191">
        <v>843.3</v>
      </c>
      <c r="K18" s="190">
        <v>929</v>
      </c>
      <c r="L18" s="192">
        <v>1013.1</v>
      </c>
      <c r="M18" s="191">
        <v>1095.5999999999999</v>
      </c>
      <c r="N18" s="191">
        <v>1176.5</v>
      </c>
      <c r="O18" s="191">
        <v>1255.8</v>
      </c>
      <c r="P18" s="191">
        <v>1333.5</v>
      </c>
      <c r="Q18" s="191">
        <v>1409.6</v>
      </c>
      <c r="R18" s="191">
        <v>1484.1</v>
      </c>
      <c r="S18" s="191">
        <v>1557</v>
      </c>
      <c r="T18" s="191">
        <v>1628.3</v>
      </c>
      <c r="U18" s="190">
        <v>1698</v>
      </c>
      <c r="V18" s="192">
        <v>1766.1</v>
      </c>
      <c r="W18" s="191">
        <v>1832.6</v>
      </c>
      <c r="X18" s="191">
        <v>1897.5</v>
      </c>
      <c r="Y18" s="191">
        <v>1960.8</v>
      </c>
      <c r="Z18" s="191">
        <v>2022.5</v>
      </c>
      <c r="AA18" s="191">
        <v>2082.6</v>
      </c>
      <c r="AB18" s="191">
        <v>2141.1</v>
      </c>
      <c r="AC18" s="191">
        <v>2198</v>
      </c>
      <c r="AD18" s="191">
        <v>2253.3000000000002</v>
      </c>
      <c r="AE18" s="190">
        <v>2307</v>
      </c>
      <c r="AF18" s="192">
        <v>2359.1</v>
      </c>
      <c r="AG18" s="191">
        <v>2409.6</v>
      </c>
      <c r="AH18" s="191">
        <v>2458.5</v>
      </c>
      <c r="AI18" s="191">
        <v>2505.8000000000002</v>
      </c>
      <c r="AJ18" s="191">
        <v>2551.5</v>
      </c>
      <c r="AK18" s="190">
        <v>2595.6</v>
      </c>
    </row>
    <row r="19" spans="1:37" x14ac:dyDescent="0.2">
      <c r="A19" s="189">
        <v>15</v>
      </c>
      <c r="B19" s="188">
        <v>113</v>
      </c>
      <c r="C19" s="187">
        <v>214.28571428571431</v>
      </c>
      <c r="D19" s="187">
        <v>318.85714285714289</v>
      </c>
      <c r="E19" s="187">
        <v>421.71428571428578</v>
      </c>
      <c r="F19" s="187">
        <v>522.85714285714289</v>
      </c>
      <c r="G19" s="187">
        <v>622.28571428571445</v>
      </c>
      <c r="H19" s="187">
        <v>720</v>
      </c>
      <c r="I19" s="187">
        <v>816</v>
      </c>
      <c r="J19" s="187">
        <v>910.28571428571456</v>
      </c>
      <c r="K19" s="186">
        <v>1002.8571428571431</v>
      </c>
      <c r="L19" s="188">
        <v>1093.714285714286</v>
      </c>
      <c r="M19" s="187">
        <v>1182.8571428571433</v>
      </c>
      <c r="N19" s="187">
        <v>1270.2857142857149</v>
      </c>
      <c r="O19" s="187">
        <v>1356</v>
      </c>
      <c r="P19" s="187">
        <v>1440</v>
      </c>
      <c r="Q19" s="187">
        <v>1522.2857142857151</v>
      </c>
      <c r="R19" s="187">
        <v>1602.8571428571438</v>
      </c>
      <c r="S19" s="187">
        <v>1681.7142857142867</v>
      </c>
      <c r="T19" s="187">
        <v>1758.857142857144</v>
      </c>
      <c r="U19" s="186">
        <v>1834.2857142857156</v>
      </c>
      <c r="V19" s="188">
        <v>1908</v>
      </c>
      <c r="W19" s="187">
        <v>1980</v>
      </c>
      <c r="X19" s="187">
        <v>2050.285714285716</v>
      </c>
      <c r="Y19" s="187">
        <v>2118.8571428571445</v>
      </c>
      <c r="Z19" s="187">
        <v>2185.7142857142876</v>
      </c>
      <c r="AA19" s="187">
        <v>2250.8571428571449</v>
      </c>
      <c r="AB19" s="187">
        <v>2314.2857142857165</v>
      </c>
      <c r="AC19" s="187">
        <v>2376</v>
      </c>
      <c r="AD19" s="187">
        <v>2436</v>
      </c>
      <c r="AE19" s="186">
        <v>2494.2857142857169</v>
      </c>
      <c r="AF19" s="188">
        <v>2550.8571428571458</v>
      </c>
      <c r="AG19" s="187">
        <v>2605.714285714289</v>
      </c>
      <c r="AH19" s="187">
        <v>2658.8571428571463</v>
      </c>
      <c r="AI19" s="187">
        <v>2710.2857142857179</v>
      </c>
      <c r="AJ19" s="187">
        <v>2760</v>
      </c>
      <c r="AK19" s="186">
        <v>2808</v>
      </c>
    </row>
    <row r="20" spans="1:37" x14ac:dyDescent="0.2">
      <c r="A20" s="189">
        <v>16</v>
      </c>
      <c r="B20" s="195">
        <v>118</v>
      </c>
      <c r="C20" s="194">
        <v>230.17142857142858</v>
      </c>
      <c r="D20" s="194">
        <v>342.51428571428573</v>
      </c>
      <c r="E20" s="194">
        <v>453.02857142857147</v>
      </c>
      <c r="F20" s="194">
        <v>561.71428571428578</v>
      </c>
      <c r="G20" s="194">
        <v>668.57142857142867</v>
      </c>
      <c r="H20" s="194">
        <v>773.6</v>
      </c>
      <c r="I20" s="194">
        <v>876.8</v>
      </c>
      <c r="J20" s="194">
        <v>978.17142857142881</v>
      </c>
      <c r="K20" s="193">
        <v>1077.714285714286</v>
      </c>
      <c r="L20" s="195">
        <v>1175.4285714285718</v>
      </c>
      <c r="M20" s="194">
        <v>1271.3142857142861</v>
      </c>
      <c r="N20" s="194">
        <v>1365.3714285714291</v>
      </c>
      <c r="O20" s="194">
        <v>1457.6</v>
      </c>
      <c r="P20" s="194">
        <v>1548</v>
      </c>
      <c r="Q20" s="194">
        <v>1636.5714285714294</v>
      </c>
      <c r="R20" s="194">
        <v>1723.3142857142866</v>
      </c>
      <c r="S20" s="194">
        <v>1808.2285714285724</v>
      </c>
      <c r="T20" s="194">
        <v>1891.3142857142868</v>
      </c>
      <c r="U20" s="193">
        <v>1972.5714285714298</v>
      </c>
      <c r="V20" s="195">
        <v>2052</v>
      </c>
      <c r="W20" s="194">
        <v>2129.6</v>
      </c>
      <c r="X20" s="194">
        <v>2205.3714285714304</v>
      </c>
      <c r="Y20" s="194">
        <v>2279.3142857142875</v>
      </c>
      <c r="Z20" s="194">
        <v>2351.4285714285734</v>
      </c>
      <c r="AA20" s="194">
        <v>2421.7142857142881</v>
      </c>
      <c r="AB20" s="194">
        <v>2490.1714285714306</v>
      </c>
      <c r="AC20" s="194">
        <v>2556.8000000000002</v>
      </c>
      <c r="AD20" s="194">
        <v>2621.6</v>
      </c>
      <c r="AE20" s="193">
        <v>2684.5714285714312</v>
      </c>
      <c r="AF20" s="195">
        <v>2745.714285714289</v>
      </c>
      <c r="AG20" s="194">
        <v>2805.0285714285747</v>
      </c>
      <c r="AH20" s="194">
        <v>2862.5142857142891</v>
      </c>
      <c r="AI20" s="194">
        <v>2918.1714285714324</v>
      </c>
      <c r="AJ20" s="194">
        <v>2972</v>
      </c>
      <c r="AK20" s="193">
        <v>3024</v>
      </c>
    </row>
    <row r="21" spans="1:37" x14ac:dyDescent="0.2">
      <c r="A21" s="189">
        <v>17</v>
      </c>
      <c r="B21" s="192">
        <v>124.1</v>
      </c>
      <c r="C21" s="191">
        <v>246.25714285714287</v>
      </c>
      <c r="D21" s="191">
        <v>366.47142857142859</v>
      </c>
      <c r="E21" s="191">
        <v>484.74285714285719</v>
      </c>
      <c r="F21" s="191">
        <v>601.07142857142867</v>
      </c>
      <c r="G21" s="191">
        <v>715.45714285714291</v>
      </c>
      <c r="H21" s="191">
        <v>827.9</v>
      </c>
      <c r="I21" s="191">
        <v>938.4</v>
      </c>
      <c r="J21" s="191">
        <v>1046.957142857143</v>
      </c>
      <c r="K21" s="190">
        <v>1153.5714285714289</v>
      </c>
      <c r="L21" s="192">
        <v>1258.2428571428575</v>
      </c>
      <c r="M21" s="191">
        <v>1360.971428571429</v>
      </c>
      <c r="N21" s="191">
        <v>1461.7571428571434</v>
      </c>
      <c r="O21" s="191">
        <v>1560.6</v>
      </c>
      <c r="P21" s="191">
        <v>1657.5</v>
      </c>
      <c r="Q21" s="191">
        <v>1752.4571428571437</v>
      </c>
      <c r="R21" s="191">
        <v>1845.4714285714294</v>
      </c>
      <c r="S21" s="191">
        <v>1936.5428571428581</v>
      </c>
      <c r="T21" s="191">
        <v>2025.6714285714297</v>
      </c>
      <c r="U21" s="190">
        <v>2112.857142857144</v>
      </c>
      <c r="V21" s="192">
        <v>2198.1</v>
      </c>
      <c r="W21" s="191">
        <v>2281.4</v>
      </c>
      <c r="X21" s="191">
        <v>2362.7571428571446</v>
      </c>
      <c r="Y21" s="191">
        <v>2442.1714285714306</v>
      </c>
      <c r="Z21" s="191">
        <v>2519.6428571428592</v>
      </c>
      <c r="AA21" s="191">
        <v>2595.1714285714306</v>
      </c>
      <c r="AB21" s="191">
        <v>2668.757142857145</v>
      </c>
      <c r="AC21" s="191">
        <v>2740.4</v>
      </c>
      <c r="AD21" s="191">
        <v>2810.1</v>
      </c>
      <c r="AE21" s="190">
        <v>2877.8571428571458</v>
      </c>
      <c r="AF21" s="192">
        <v>2943.6714285714315</v>
      </c>
      <c r="AG21" s="191">
        <v>3007.5428571428606</v>
      </c>
      <c r="AH21" s="191">
        <v>3069.4714285714322</v>
      </c>
      <c r="AI21" s="191">
        <v>3129.4571428571467</v>
      </c>
      <c r="AJ21" s="191">
        <v>3187.5</v>
      </c>
      <c r="AK21" s="190">
        <v>3243.6</v>
      </c>
    </row>
    <row r="22" spans="1:37" x14ac:dyDescent="0.2">
      <c r="A22" s="189">
        <v>18</v>
      </c>
      <c r="B22" s="192">
        <v>133.19999999999999</v>
      </c>
      <c r="C22" s="191">
        <v>264.34285714285716</v>
      </c>
      <c r="D22" s="191">
        <v>393.42857142857144</v>
      </c>
      <c r="E22" s="191">
        <v>520.45714285714291</v>
      </c>
      <c r="F22" s="191">
        <v>645.42857142857156</v>
      </c>
      <c r="G22" s="191">
        <v>768.34285714285727</v>
      </c>
      <c r="H22" s="191">
        <v>889.2</v>
      </c>
      <c r="I22" s="191">
        <v>1008</v>
      </c>
      <c r="J22" s="191">
        <v>1124.7428571428575</v>
      </c>
      <c r="K22" s="190">
        <v>1239.4285714285718</v>
      </c>
      <c r="L22" s="192">
        <v>1352.0571428571434</v>
      </c>
      <c r="M22" s="191">
        <v>1462.6285714285721</v>
      </c>
      <c r="N22" s="191">
        <v>1571.1428571428578</v>
      </c>
      <c r="O22" s="191">
        <v>1677.6</v>
      </c>
      <c r="P22" s="191">
        <v>1782</v>
      </c>
      <c r="Q22" s="191">
        <v>1884.3428571428581</v>
      </c>
      <c r="R22" s="191">
        <v>1984.6285714285725</v>
      </c>
      <c r="S22" s="191">
        <v>2082.857142857144</v>
      </c>
      <c r="T22" s="191">
        <v>2179.0285714285728</v>
      </c>
      <c r="U22" s="190">
        <v>2273.1428571428587</v>
      </c>
      <c r="V22" s="192">
        <v>2365.1999999999998</v>
      </c>
      <c r="W22" s="191">
        <v>2455.1999999999998</v>
      </c>
      <c r="X22" s="191">
        <v>2543.1428571428592</v>
      </c>
      <c r="Y22" s="191">
        <v>2629.0285714285737</v>
      </c>
      <c r="Z22" s="191">
        <v>2712.8571428571454</v>
      </c>
      <c r="AA22" s="191">
        <v>2794.6285714285741</v>
      </c>
      <c r="AB22" s="191">
        <v>2874.3428571428599</v>
      </c>
      <c r="AC22" s="191">
        <v>2952</v>
      </c>
      <c r="AD22" s="191">
        <v>3027.6</v>
      </c>
      <c r="AE22" s="190">
        <v>3101.1428571428605</v>
      </c>
      <c r="AF22" s="192">
        <v>3172.628571428575</v>
      </c>
      <c r="AG22" s="191">
        <v>3242.0571428571466</v>
      </c>
      <c r="AH22" s="191">
        <v>3309.4285714285757</v>
      </c>
      <c r="AI22" s="191">
        <v>3374.7428571428613</v>
      </c>
      <c r="AJ22" s="191">
        <v>3438</v>
      </c>
      <c r="AK22" s="190">
        <v>3499.2</v>
      </c>
    </row>
    <row r="23" spans="1:37" x14ac:dyDescent="0.2">
      <c r="A23" s="189">
        <v>19</v>
      </c>
      <c r="B23" s="192">
        <v>142.5</v>
      </c>
      <c r="C23" s="191">
        <v>282.82857142857142</v>
      </c>
      <c r="D23" s="191">
        <v>420.98571428571432</v>
      </c>
      <c r="E23" s="191">
        <v>556.97142857142865</v>
      </c>
      <c r="F23" s="191">
        <v>690.78571428571433</v>
      </c>
      <c r="G23" s="191">
        <v>822.42857142857156</v>
      </c>
      <c r="H23" s="191">
        <v>951.9</v>
      </c>
      <c r="I23" s="191">
        <v>1079.2</v>
      </c>
      <c r="J23" s="191">
        <v>1204.3285714285716</v>
      </c>
      <c r="K23" s="190">
        <v>1327.2857142857147</v>
      </c>
      <c r="L23" s="192">
        <v>1448.0714285714289</v>
      </c>
      <c r="M23" s="191">
        <v>1566.6857142857148</v>
      </c>
      <c r="N23" s="191">
        <v>1683.1285714285721</v>
      </c>
      <c r="O23" s="191">
        <v>1797.4</v>
      </c>
      <c r="P23" s="191">
        <v>1909.5</v>
      </c>
      <c r="Q23" s="191">
        <v>2019.4285714285725</v>
      </c>
      <c r="R23" s="191">
        <v>2127.1857142857152</v>
      </c>
      <c r="S23" s="191">
        <v>2232.7714285714296</v>
      </c>
      <c r="T23" s="191">
        <v>2336.1857142857157</v>
      </c>
      <c r="U23" s="190">
        <v>2437.4285714285729</v>
      </c>
      <c r="V23" s="192">
        <v>2536.5</v>
      </c>
      <c r="W23" s="191">
        <v>2633.4</v>
      </c>
      <c r="X23" s="191">
        <v>2728.1285714285732</v>
      </c>
      <c r="Y23" s="191">
        <v>2820.6857142857166</v>
      </c>
      <c r="Z23" s="191">
        <v>2911.0714285714307</v>
      </c>
      <c r="AA23" s="191">
        <v>2999.2857142857169</v>
      </c>
      <c r="AB23" s="191">
        <v>3085.3285714285739</v>
      </c>
      <c r="AC23" s="191">
        <v>3169.2</v>
      </c>
      <c r="AD23" s="191">
        <v>3250.9</v>
      </c>
      <c r="AE23" s="190">
        <v>3330.4285714285747</v>
      </c>
      <c r="AF23" s="192">
        <v>3407.7857142857179</v>
      </c>
      <c r="AG23" s="191">
        <v>3482.9714285714326</v>
      </c>
      <c r="AH23" s="191">
        <v>3555.9857142857181</v>
      </c>
      <c r="AI23" s="191">
        <v>3626.8285714285757</v>
      </c>
      <c r="AJ23" s="191">
        <v>3695.5</v>
      </c>
      <c r="AK23" s="190">
        <v>3762.000000000005</v>
      </c>
    </row>
    <row r="24" spans="1:37" x14ac:dyDescent="0.2">
      <c r="A24" s="189">
        <v>20</v>
      </c>
      <c r="B24" s="188">
        <v>152</v>
      </c>
      <c r="C24" s="187">
        <v>301.71428571428572</v>
      </c>
      <c r="D24" s="187">
        <v>449.14285714285722</v>
      </c>
      <c r="E24" s="187">
        <v>594.28571428571433</v>
      </c>
      <c r="F24" s="187">
        <v>737.14285714285722</v>
      </c>
      <c r="G24" s="187">
        <v>877.71428571428589</v>
      </c>
      <c r="H24" s="187">
        <v>1016</v>
      </c>
      <c r="I24" s="187">
        <v>1152</v>
      </c>
      <c r="J24" s="187">
        <v>1285.714285714286</v>
      </c>
      <c r="K24" s="186">
        <v>1417.1428571428576</v>
      </c>
      <c r="L24" s="188">
        <v>1546.2857142857149</v>
      </c>
      <c r="M24" s="187">
        <v>1673.1428571428578</v>
      </c>
      <c r="N24" s="187">
        <v>1797.7142857142865</v>
      </c>
      <c r="O24" s="187">
        <v>1920</v>
      </c>
      <c r="P24" s="187">
        <v>2040</v>
      </c>
      <c r="Q24" s="187">
        <v>2157.7142857142867</v>
      </c>
      <c r="R24" s="187">
        <v>2273.1428571428582</v>
      </c>
      <c r="S24" s="187">
        <v>2386.2857142857156</v>
      </c>
      <c r="T24" s="187">
        <v>2497.1428571428587</v>
      </c>
      <c r="U24" s="186">
        <v>2605.7142857142876</v>
      </c>
      <c r="V24" s="188">
        <v>2712</v>
      </c>
      <c r="W24" s="187">
        <v>2816</v>
      </c>
      <c r="X24" s="187">
        <v>2917.7142857142881</v>
      </c>
      <c r="Y24" s="187">
        <v>3017.1428571428596</v>
      </c>
      <c r="Z24" s="187">
        <v>3114.2857142857169</v>
      </c>
      <c r="AA24" s="187">
        <v>3209.1428571428601</v>
      </c>
      <c r="AB24" s="187">
        <v>3301.714285714289</v>
      </c>
      <c r="AC24" s="187">
        <v>3392</v>
      </c>
      <c r="AD24" s="187">
        <v>3480</v>
      </c>
      <c r="AE24" s="186">
        <v>3565.7142857142894</v>
      </c>
      <c r="AF24" s="188">
        <v>3649.1428571428614</v>
      </c>
      <c r="AG24" s="187">
        <v>3730.2857142857188</v>
      </c>
      <c r="AH24" s="187">
        <v>3809.1428571428619</v>
      </c>
      <c r="AI24" s="187">
        <v>3885.7142857142908</v>
      </c>
      <c r="AJ24" s="187">
        <v>3960.000000000005</v>
      </c>
      <c r="AK24" s="186">
        <v>4032.0000000000055</v>
      </c>
    </row>
    <row r="25" spans="1:37" x14ac:dyDescent="0.2">
      <c r="A25" s="189">
        <v>21</v>
      </c>
      <c r="B25" s="195">
        <v>162.75</v>
      </c>
      <c r="C25" s="194">
        <v>323.10000000000002</v>
      </c>
      <c r="D25" s="194">
        <v>481.05</v>
      </c>
      <c r="E25" s="194">
        <v>636.6</v>
      </c>
      <c r="F25" s="194">
        <v>789.75</v>
      </c>
      <c r="G25" s="194">
        <v>940.5</v>
      </c>
      <c r="H25" s="194">
        <v>1088.8499999999999</v>
      </c>
      <c r="I25" s="194">
        <v>1234.8</v>
      </c>
      <c r="J25" s="194">
        <v>1378.35</v>
      </c>
      <c r="K25" s="193">
        <v>1519.5</v>
      </c>
      <c r="L25" s="195">
        <v>1658.25</v>
      </c>
      <c r="M25" s="194">
        <v>1794.6</v>
      </c>
      <c r="N25" s="194">
        <v>1928.55</v>
      </c>
      <c r="O25" s="194">
        <v>2060.1</v>
      </c>
      <c r="P25" s="194">
        <v>2189.25</v>
      </c>
      <c r="Q25" s="194">
        <v>2316</v>
      </c>
      <c r="R25" s="194">
        <v>2440.35</v>
      </c>
      <c r="S25" s="194">
        <v>2562.3000000000002</v>
      </c>
      <c r="T25" s="194">
        <v>2681.85</v>
      </c>
      <c r="U25" s="193">
        <v>2799</v>
      </c>
      <c r="V25" s="195">
        <v>2913.75</v>
      </c>
      <c r="W25" s="194">
        <v>3026.1</v>
      </c>
      <c r="X25" s="194">
        <v>3136.05</v>
      </c>
      <c r="Y25" s="194">
        <v>3243.6</v>
      </c>
      <c r="Z25" s="194">
        <v>3348.75</v>
      </c>
      <c r="AA25" s="194">
        <v>3451.5</v>
      </c>
      <c r="AB25" s="194">
        <v>3551.85</v>
      </c>
      <c r="AC25" s="194">
        <v>3649.8</v>
      </c>
      <c r="AD25" s="194">
        <v>3745.35</v>
      </c>
      <c r="AE25" s="193">
        <v>3838.5</v>
      </c>
      <c r="AF25" s="195">
        <v>3929.25</v>
      </c>
      <c r="AG25" s="194">
        <v>4017.6</v>
      </c>
      <c r="AH25" s="194">
        <v>4103.55</v>
      </c>
      <c r="AI25" s="194">
        <v>4187.1000000000058</v>
      </c>
      <c r="AJ25" s="194">
        <v>4268.2500000000055</v>
      </c>
      <c r="AK25" s="193">
        <v>4347.0000000000064</v>
      </c>
    </row>
    <row r="26" spans="1:37" x14ac:dyDescent="0.2">
      <c r="A26" s="189">
        <v>22</v>
      </c>
      <c r="B26" s="192">
        <v>174.9</v>
      </c>
      <c r="C26" s="191">
        <v>347.28571428571428</v>
      </c>
      <c r="D26" s="191">
        <v>517.15714285714284</v>
      </c>
      <c r="E26" s="191">
        <v>684.51428571428573</v>
      </c>
      <c r="F26" s="191">
        <v>849.357142857143</v>
      </c>
      <c r="G26" s="191">
        <v>1011.6857142857144</v>
      </c>
      <c r="H26" s="191">
        <v>1171.5</v>
      </c>
      <c r="I26" s="191">
        <v>1328.8</v>
      </c>
      <c r="J26" s="191">
        <v>1483.5857142857146</v>
      </c>
      <c r="K26" s="190">
        <v>1635.8571428571433</v>
      </c>
      <c r="L26" s="192">
        <v>1785.6142857142863</v>
      </c>
      <c r="M26" s="191">
        <v>1932.8571428571436</v>
      </c>
      <c r="N26" s="191">
        <v>2077.5857142857149</v>
      </c>
      <c r="O26" s="191">
        <v>2219.8000000000002</v>
      </c>
      <c r="P26" s="191">
        <v>2359.5</v>
      </c>
      <c r="Q26" s="191">
        <v>2496.6857142857152</v>
      </c>
      <c r="R26" s="191">
        <v>2631.357142857144</v>
      </c>
      <c r="S26" s="191">
        <v>2763.5142857142873</v>
      </c>
      <c r="T26" s="191">
        <v>2893.1571428571447</v>
      </c>
      <c r="U26" s="190">
        <v>3020.285714285716</v>
      </c>
      <c r="V26" s="192">
        <v>3144.9</v>
      </c>
      <c r="W26" s="191">
        <v>3267</v>
      </c>
      <c r="X26" s="191">
        <v>3386.5857142857167</v>
      </c>
      <c r="Y26" s="191">
        <v>3503.6571428571456</v>
      </c>
      <c r="Z26" s="191">
        <v>3618.2142857142885</v>
      </c>
      <c r="AA26" s="191">
        <v>3730.2571428571459</v>
      </c>
      <c r="AB26" s="191">
        <v>3839.7857142857174</v>
      </c>
      <c r="AC26" s="191">
        <v>3946.8</v>
      </c>
      <c r="AD26" s="191">
        <v>4051.3</v>
      </c>
      <c r="AE26" s="190">
        <v>4153.2857142857183</v>
      </c>
      <c r="AF26" s="192">
        <v>4252.7571428571473</v>
      </c>
      <c r="AG26" s="191">
        <v>4349.7142857142899</v>
      </c>
      <c r="AH26" s="191">
        <v>4444.1571428571478</v>
      </c>
      <c r="AI26" s="191">
        <v>4536.0857142857194</v>
      </c>
      <c r="AJ26" s="191">
        <v>4625.5000000000055</v>
      </c>
      <c r="AK26" s="190">
        <v>4712.400000000006</v>
      </c>
    </row>
    <row r="27" spans="1:37" x14ac:dyDescent="0.2">
      <c r="A27" s="189">
        <v>23</v>
      </c>
      <c r="B27" s="192">
        <v>186.3</v>
      </c>
      <c r="C27" s="191">
        <v>369.97142857142859</v>
      </c>
      <c r="D27" s="191">
        <v>551.01428571428573</v>
      </c>
      <c r="E27" s="191">
        <v>729.42857142857144</v>
      </c>
      <c r="F27" s="191">
        <v>905.21428571428578</v>
      </c>
      <c r="G27" s="191">
        <v>1078.3714285714286</v>
      </c>
      <c r="H27" s="191">
        <v>1248.9000000000001</v>
      </c>
      <c r="I27" s="191">
        <v>1416.8</v>
      </c>
      <c r="J27" s="191">
        <v>1582.0714285714289</v>
      </c>
      <c r="K27" s="190">
        <v>1744.714285714286</v>
      </c>
      <c r="L27" s="192">
        <v>1904.7285714285717</v>
      </c>
      <c r="M27" s="191">
        <v>2062.1142857142863</v>
      </c>
      <c r="N27" s="191">
        <v>2216.8714285714291</v>
      </c>
      <c r="O27" s="191">
        <v>2369</v>
      </c>
      <c r="P27" s="191">
        <v>2518.5</v>
      </c>
      <c r="Q27" s="191">
        <v>2665.3714285714295</v>
      </c>
      <c r="R27" s="191">
        <v>2809.6142857142868</v>
      </c>
      <c r="S27" s="191">
        <v>2951.2285714285726</v>
      </c>
      <c r="T27" s="191">
        <v>3090.2142857142871</v>
      </c>
      <c r="U27" s="190">
        <v>3226.5714285714303</v>
      </c>
      <c r="V27" s="192">
        <v>3360.3</v>
      </c>
      <c r="W27" s="191">
        <v>3491.4</v>
      </c>
      <c r="X27" s="191">
        <v>3619.8714285714309</v>
      </c>
      <c r="Y27" s="191">
        <v>3745.7142857142881</v>
      </c>
      <c r="Z27" s="191">
        <v>3868.9285714285738</v>
      </c>
      <c r="AA27" s="191">
        <v>3989.5142857142887</v>
      </c>
      <c r="AB27" s="191">
        <v>4107.4714285714317</v>
      </c>
      <c r="AC27" s="191">
        <v>4222.8</v>
      </c>
      <c r="AD27" s="191">
        <v>4335.5</v>
      </c>
      <c r="AE27" s="190">
        <v>4445.5714285714321</v>
      </c>
      <c r="AF27" s="192">
        <v>4553.0142857142901</v>
      </c>
      <c r="AG27" s="191">
        <v>4657.8285714285757</v>
      </c>
      <c r="AH27" s="191">
        <v>4760.0142857142901</v>
      </c>
      <c r="AI27" s="191">
        <v>4859.5714285714339</v>
      </c>
      <c r="AJ27" s="191">
        <v>4956.5000000000055</v>
      </c>
      <c r="AK27" s="190">
        <v>5050.8000000000056</v>
      </c>
    </row>
    <row r="28" spans="1:37" x14ac:dyDescent="0.2">
      <c r="A28" s="189">
        <v>24</v>
      </c>
      <c r="B28" s="192">
        <v>199.2</v>
      </c>
      <c r="C28" s="191">
        <v>395.65714285714284</v>
      </c>
      <c r="D28" s="191">
        <v>589.37142857142851</v>
      </c>
      <c r="E28" s="191">
        <v>780.34285714285716</v>
      </c>
      <c r="F28" s="191">
        <v>968.57142857142856</v>
      </c>
      <c r="G28" s="191">
        <v>1154.0571428571429</v>
      </c>
      <c r="H28" s="191">
        <v>1336.8</v>
      </c>
      <c r="I28" s="191">
        <v>1516.8</v>
      </c>
      <c r="J28" s="191">
        <v>1694.0571428571429</v>
      </c>
      <c r="K28" s="190">
        <v>1868.5714285714287</v>
      </c>
      <c r="L28" s="192">
        <v>2040.3428571428574</v>
      </c>
      <c r="M28" s="191">
        <v>2209.3714285714291</v>
      </c>
      <c r="N28" s="191">
        <v>2375.6571428571433</v>
      </c>
      <c r="O28" s="191">
        <v>2539.1999999999998</v>
      </c>
      <c r="P28" s="191">
        <v>2700</v>
      </c>
      <c r="Q28" s="191">
        <v>2858.0571428571438</v>
      </c>
      <c r="R28" s="191">
        <v>3013.3714285714295</v>
      </c>
      <c r="S28" s="191">
        <v>3165.942857142858</v>
      </c>
      <c r="T28" s="191">
        <v>3315.7714285714296</v>
      </c>
      <c r="U28" s="190">
        <v>3462.857142857144</v>
      </c>
      <c r="V28" s="192">
        <v>3607.2</v>
      </c>
      <c r="W28" s="191">
        <v>3748.8</v>
      </c>
      <c r="X28" s="191">
        <v>3887.6571428571447</v>
      </c>
      <c r="Y28" s="191">
        <v>4023.7714285714305</v>
      </c>
      <c r="Z28" s="191">
        <v>4157.1428571428596</v>
      </c>
      <c r="AA28" s="191">
        <v>4287.771428571431</v>
      </c>
      <c r="AB28" s="191">
        <v>4415.657142857146</v>
      </c>
      <c r="AC28" s="191">
        <v>4540.8</v>
      </c>
      <c r="AD28" s="191">
        <v>4663.2</v>
      </c>
      <c r="AE28" s="190">
        <v>4782.8571428571468</v>
      </c>
      <c r="AF28" s="192">
        <v>4899.7714285714319</v>
      </c>
      <c r="AG28" s="191">
        <v>5013.9428571428616</v>
      </c>
      <c r="AH28" s="191">
        <v>5125.3714285714332</v>
      </c>
      <c r="AI28" s="191">
        <v>5234.0571428571475</v>
      </c>
      <c r="AJ28" s="191">
        <v>5340</v>
      </c>
      <c r="AK28" s="190">
        <v>5443.2000000000053</v>
      </c>
    </row>
    <row r="29" spans="1:37" x14ac:dyDescent="0.2">
      <c r="A29" s="189">
        <v>25</v>
      </c>
      <c r="B29" s="188">
        <v>212.5</v>
      </c>
      <c r="C29" s="187">
        <v>422.14285714285717</v>
      </c>
      <c r="D29" s="187">
        <v>628.92857142857144</v>
      </c>
      <c r="E29" s="187">
        <v>832.85714285714289</v>
      </c>
      <c r="F29" s="187">
        <v>1033.9285714285716</v>
      </c>
      <c r="G29" s="187">
        <v>1232.1428571428573</v>
      </c>
      <c r="H29" s="187">
        <v>1427.5</v>
      </c>
      <c r="I29" s="187">
        <v>1620</v>
      </c>
      <c r="J29" s="187">
        <v>1809.6428571428576</v>
      </c>
      <c r="K29" s="186">
        <v>1996.4285714285718</v>
      </c>
      <c r="L29" s="188">
        <v>2180.3571428571436</v>
      </c>
      <c r="M29" s="187">
        <v>2361.428571428572</v>
      </c>
      <c r="N29" s="187">
        <v>2539.6428571428578</v>
      </c>
      <c r="O29" s="187">
        <v>2715</v>
      </c>
      <c r="P29" s="187">
        <v>2887.5</v>
      </c>
      <c r="Q29" s="187">
        <v>3057.1428571428582</v>
      </c>
      <c r="R29" s="187">
        <v>3223.9285714285729</v>
      </c>
      <c r="S29" s="187">
        <v>3387.8571428571445</v>
      </c>
      <c r="T29" s="187">
        <v>3548.9285714285734</v>
      </c>
      <c r="U29" s="186">
        <v>3707.1428571428592</v>
      </c>
      <c r="V29" s="188">
        <v>3862.5</v>
      </c>
      <c r="W29" s="187">
        <v>4015</v>
      </c>
      <c r="X29" s="187">
        <v>4164.6428571428596</v>
      </c>
      <c r="Y29" s="187">
        <v>4311.4285714285743</v>
      </c>
      <c r="Z29" s="187">
        <v>4455.3571428571458</v>
      </c>
      <c r="AA29" s="187">
        <v>4596.4285714285743</v>
      </c>
      <c r="AB29" s="187">
        <v>4734.6428571428605</v>
      </c>
      <c r="AC29" s="187">
        <v>4870</v>
      </c>
      <c r="AD29" s="187">
        <v>5002.5</v>
      </c>
      <c r="AE29" s="186">
        <v>5132.1428571428614</v>
      </c>
      <c r="AF29" s="188">
        <v>5258.9285714285761</v>
      </c>
      <c r="AG29" s="187">
        <v>5382.8571428571477</v>
      </c>
      <c r="AH29" s="187">
        <v>5503.928571428577</v>
      </c>
      <c r="AI29" s="187">
        <v>5622.1428571428632</v>
      </c>
      <c r="AJ29" s="187">
        <v>5737.5000000000064</v>
      </c>
      <c r="AK29" s="186">
        <v>5850.0000000000064</v>
      </c>
    </row>
    <row r="30" spans="1:37" x14ac:dyDescent="0.2">
      <c r="A30" s="189">
        <v>26</v>
      </c>
      <c r="B30" s="195">
        <v>226.2</v>
      </c>
      <c r="C30" s="194">
        <v>449.42857142857139</v>
      </c>
      <c r="D30" s="194">
        <v>669.68571428571431</v>
      </c>
      <c r="E30" s="194">
        <v>886.97142857142853</v>
      </c>
      <c r="F30" s="194">
        <v>1101.2857142857142</v>
      </c>
      <c r="G30" s="194">
        <v>1312.6285714285714</v>
      </c>
      <c r="H30" s="194">
        <v>1521</v>
      </c>
      <c r="I30" s="194">
        <v>1726.4</v>
      </c>
      <c r="J30" s="194">
        <v>1928.8285714285716</v>
      </c>
      <c r="K30" s="193">
        <v>2128.2857142857147</v>
      </c>
      <c r="L30" s="195">
        <v>2324.7714285714292</v>
      </c>
      <c r="M30" s="194">
        <v>2518.2857142857147</v>
      </c>
      <c r="N30" s="194">
        <v>2708.8285714285721</v>
      </c>
      <c r="O30" s="194">
        <v>2896.4</v>
      </c>
      <c r="P30" s="194">
        <v>3081</v>
      </c>
      <c r="Q30" s="194">
        <v>3262.6285714285723</v>
      </c>
      <c r="R30" s="194">
        <v>3441.2857142857156</v>
      </c>
      <c r="S30" s="194">
        <v>3616.9714285714299</v>
      </c>
      <c r="T30" s="194">
        <v>3789.6857142857157</v>
      </c>
      <c r="U30" s="193">
        <v>3959.4285714285729</v>
      </c>
      <c r="V30" s="195">
        <v>4126.2</v>
      </c>
      <c r="W30" s="194">
        <v>4290</v>
      </c>
      <c r="X30" s="194">
        <v>4450.8285714285739</v>
      </c>
      <c r="Y30" s="194">
        <v>4608.685714285717</v>
      </c>
      <c r="Z30" s="194">
        <v>4763.5714285714312</v>
      </c>
      <c r="AA30" s="194">
        <v>4915.4857142857172</v>
      </c>
      <c r="AB30" s="194">
        <v>5064.4285714285743</v>
      </c>
      <c r="AC30" s="194">
        <v>5210.3999999999996</v>
      </c>
      <c r="AD30" s="194">
        <v>5353.4</v>
      </c>
      <c r="AE30" s="193">
        <v>5493.4285714285752</v>
      </c>
      <c r="AF30" s="195">
        <v>5630.485714285719</v>
      </c>
      <c r="AG30" s="194">
        <v>5764.571428571433</v>
      </c>
      <c r="AH30" s="194">
        <v>5895.6857142857189</v>
      </c>
      <c r="AI30" s="194">
        <v>6023.8285714285767</v>
      </c>
      <c r="AJ30" s="194">
        <v>6149.0000000000055</v>
      </c>
      <c r="AK30" s="193">
        <v>6271.2000000000062</v>
      </c>
    </row>
    <row r="31" spans="1:37" x14ac:dyDescent="0.2">
      <c r="A31" s="189">
        <v>27</v>
      </c>
      <c r="B31" s="192">
        <v>237.6</v>
      </c>
      <c r="C31" s="191">
        <v>472.11428571428564</v>
      </c>
      <c r="D31" s="191">
        <v>703.54285714285709</v>
      </c>
      <c r="E31" s="191">
        <v>931.88571428571424</v>
      </c>
      <c r="F31" s="191">
        <v>1157.1428571428571</v>
      </c>
      <c r="G31" s="191">
        <v>1379.3142857142857</v>
      </c>
      <c r="H31" s="191">
        <v>1598.4</v>
      </c>
      <c r="I31" s="191">
        <v>1814.4</v>
      </c>
      <c r="J31" s="191">
        <v>2027.3142857142859</v>
      </c>
      <c r="K31" s="190">
        <v>2237.1428571428573</v>
      </c>
      <c r="L31" s="192">
        <v>2443.8857142857146</v>
      </c>
      <c r="M31" s="191">
        <v>2647.5428571428574</v>
      </c>
      <c r="N31" s="191">
        <v>2848.1142857142863</v>
      </c>
      <c r="O31" s="191">
        <v>3045.6</v>
      </c>
      <c r="P31" s="191">
        <v>3240</v>
      </c>
      <c r="Q31" s="191">
        <v>3431.3142857142866</v>
      </c>
      <c r="R31" s="191">
        <v>3619.5428571428583</v>
      </c>
      <c r="S31" s="191">
        <v>3804.6857142857152</v>
      </c>
      <c r="T31" s="191">
        <v>3986.7428571428586</v>
      </c>
      <c r="U31" s="190">
        <v>4165.7142857142871</v>
      </c>
      <c r="V31" s="192">
        <v>4341.6000000000004</v>
      </c>
      <c r="W31" s="191">
        <v>4514.3999999999996</v>
      </c>
      <c r="X31" s="191">
        <v>4684.1142857142877</v>
      </c>
      <c r="Y31" s="191">
        <v>4850.7428571428591</v>
      </c>
      <c r="Z31" s="191">
        <v>5014.2857142857165</v>
      </c>
      <c r="AA31" s="191">
        <v>5174.74285714286</v>
      </c>
      <c r="AB31" s="191">
        <v>5332.1142857142886</v>
      </c>
      <c r="AC31" s="191">
        <v>5486.4</v>
      </c>
      <c r="AD31" s="191">
        <v>5637.6</v>
      </c>
      <c r="AE31" s="190">
        <v>5785.7142857142899</v>
      </c>
      <c r="AF31" s="192">
        <v>5930.7428571428618</v>
      </c>
      <c r="AG31" s="191">
        <v>6072.6857142857189</v>
      </c>
      <c r="AH31" s="191">
        <v>6211.542857142862</v>
      </c>
      <c r="AI31" s="191">
        <v>6347.3142857142911</v>
      </c>
      <c r="AJ31" s="191">
        <v>6480.0000000000055</v>
      </c>
      <c r="AK31" s="190">
        <v>6609.6000000000058</v>
      </c>
    </row>
    <row r="32" spans="1:37" x14ac:dyDescent="0.2">
      <c r="A32" s="189">
        <v>28</v>
      </c>
      <c r="B32" s="192">
        <v>249.2</v>
      </c>
      <c r="C32" s="191">
        <v>495.2</v>
      </c>
      <c r="D32" s="191">
        <v>738</v>
      </c>
      <c r="E32" s="191">
        <v>977.6</v>
      </c>
      <c r="F32" s="191">
        <v>1214</v>
      </c>
      <c r="G32" s="191">
        <v>1447.2</v>
      </c>
      <c r="H32" s="191">
        <v>1677.2</v>
      </c>
      <c r="I32" s="191">
        <v>1904</v>
      </c>
      <c r="J32" s="191">
        <v>2127.6</v>
      </c>
      <c r="K32" s="190">
        <v>2348</v>
      </c>
      <c r="L32" s="192">
        <v>2565.1999999999998</v>
      </c>
      <c r="M32" s="191">
        <v>2779.2</v>
      </c>
      <c r="N32" s="191">
        <v>2990</v>
      </c>
      <c r="O32" s="191">
        <v>3197.6</v>
      </c>
      <c r="P32" s="191">
        <v>3402</v>
      </c>
      <c r="Q32" s="191">
        <v>3603.2</v>
      </c>
      <c r="R32" s="191">
        <v>3801.2</v>
      </c>
      <c r="S32" s="191">
        <v>3996</v>
      </c>
      <c r="T32" s="191">
        <v>4187.6000000000004</v>
      </c>
      <c r="U32" s="190">
        <v>4376</v>
      </c>
      <c r="V32" s="192">
        <v>4561.2</v>
      </c>
      <c r="W32" s="191">
        <v>4743.2</v>
      </c>
      <c r="X32" s="191">
        <v>4922</v>
      </c>
      <c r="Y32" s="191">
        <v>5097.6000000000004</v>
      </c>
      <c r="Z32" s="191">
        <v>5270</v>
      </c>
      <c r="AA32" s="191">
        <v>5439.2</v>
      </c>
      <c r="AB32" s="191">
        <v>5605.2</v>
      </c>
      <c r="AC32" s="191">
        <v>5768</v>
      </c>
      <c r="AD32" s="191">
        <v>5927.6</v>
      </c>
      <c r="AE32" s="190">
        <v>6084</v>
      </c>
      <c r="AF32" s="192">
        <v>6237.2</v>
      </c>
      <c r="AG32" s="191">
        <v>6387.2</v>
      </c>
      <c r="AH32" s="191">
        <v>6534</v>
      </c>
      <c r="AI32" s="191">
        <v>6677.6</v>
      </c>
      <c r="AJ32" s="191">
        <v>6818</v>
      </c>
      <c r="AK32" s="190">
        <v>6955.2000000000062</v>
      </c>
    </row>
    <row r="33" spans="1:37" x14ac:dyDescent="0.2">
      <c r="A33" s="189">
        <v>29</v>
      </c>
      <c r="B33" s="192">
        <v>261</v>
      </c>
      <c r="C33" s="191">
        <v>518.68571428571431</v>
      </c>
      <c r="D33" s="191">
        <v>773.05714285714294</v>
      </c>
      <c r="E33" s="191">
        <v>1024.1142857142859</v>
      </c>
      <c r="F33" s="191">
        <v>1271.8571428571429</v>
      </c>
      <c r="G33" s="191">
        <v>1516.2857142857144</v>
      </c>
      <c r="H33" s="191">
        <v>1757.4</v>
      </c>
      <c r="I33" s="191">
        <v>1995.2</v>
      </c>
      <c r="J33" s="191">
        <v>2229.6857142857148</v>
      </c>
      <c r="K33" s="190">
        <v>2460.8571428571436</v>
      </c>
      <c r="L33" s="192">
        <v>2688.7142857142862</v>
      </c>
      <c r="M33" s="191">
        <v>2913.2571428571437</v>
      </c>
      <c r="N33" s="191">
        <v>3134.4857142857154</v>
      </c>
      <c r="O33" s="191">
        <v>3352.4</v>
      </c>
      <c r="P33" s="191">
        <v>3567</v>
      </c>
      <c r="Q33" s="191">
        <v>3778.2857142857156</v>
      </c>
      <c r="R33" s="191">
        <v>3986.2571428571446</v>
      </c>
      <c r="S33" s="191">
        <v>4190.9142857142879</v>
      </c>
      <c r="T33" s="191">
        <v>4392.2571428571446</v>
      </c>
      <c r="U33" s="190">
        <v>4590.2857142857165</v>
      </c>
      <c r="V33" s="192">
        <v>4785</v>
      </c>
      <c r="W33" s="191">
        <v>4976.3999999999996</v>
      </c>
      <c r="X33" s="191">
        <v>5164.4857142857172</v>
      </c>
      <c r="Y33" s="191">
        <v>5349.2571428571464</v>
      </c>
      <c r="Z33" s="191">
        <v>5530.714285714289</v>
      </c>
      <c r="AA33" s="191">
        <v>5708.8571428571468</v>
      </c>
      <c r="AB33" s="191">
        <v>5883.6857142857189</v>
      </c>
      <c r="AC33" s="191">
        <v>6055.2</v>
      </c>
      <c r="AD33" s="191">
        <v>6223.4</v>
      </c>
      <c r="AE33" s="190">
        <v>6388.2857142857192</v>
      </c>
      <c r="AF33" s="192">
        <v>6549.8571428571486</v>
      </c>
      <c r="AG33" s="191">
        <v>6708.1142857142913</v>
      </c>
      <c r="AH33" s="191">
        <v>6863.0571428571493</v>
      </c>
      <c r="AI33" s="191">
        <v>7014.6857142857207</v>
      </c>
      <c r="AJ33" s="191">
        <v>7163.0000000000073</v>
      </c>
      <c r="AK33" s="190">
        <v>7308.0000000000073</v>
      </c>
    </row>
    <row r="34" spans="1:37" x14ac:dyDescent="0.2">
      <c r="A34" s="189">
        <v>30</v>
      </c>
      <c r="B34" s="188">
        <v>273</v>
      </c>
      <c r="C34" s="187">
        <v>542.57142857142856</v>
      </c>
      <c r="D34" s="187">
        <v>808.71428571428567</v>
      </c>
      <c r="E34" s="187">
        <v>1071.4285714285716</v>
      </c>
      <c r="F34" s="187">
        <v>1330.7142857142858</v>
      </c>
      <c r="G34" s="187">
        <v>1586.5714285714287</v>
      </c>
      <c r="H34" s="187">
        <v>1839</v>
      </c>
      <c r="I34" s="187">
        <v>2088</v>
      </c>
      <c r="J34" s="187">
        <v>2333.5714285714289</v>
      </c>
      <c r="K34" s="186">
        <v>2575.7142857142862</v>
      </c>
      <c r="L34" s="188">
        <v>2814.428571428572</v>
      </c>
      <c r="M34" s="187">
        <v>3049.7142857142862</v>
      </c>
      <c r="N34" s="187">
        <v>3281.5714285714294</v>
      </c>
      <c r="O34" s="187">
        <v>3510</v>
      </c>
      <c r="P34" s="187">
        <v>3735</v>
      </c>
      <c r="Q34" s="187">
        <v>3956.5714285714298</v>
      </c>
      <c r="R34" s="187">
        <v>4174.7142857142871</v>
      </c>
      <c r="S34" s="187">
        <v>4389.4285714285734</v>
      </c>
      <c r="T34" s="187">
        <v>4600.7142857142871</v>
      </c>
      <c r="U34" s="186">
        <v>4808.5714285714303</v>
      </c>
      <c r="V34" s="188">
        <v>5013</v>
      </c>
      <c r="W34" s="187">
        <v>5214</v>
      </c>
      <c r="X34" s="187">
        <v>5411.5714285714312</v>
      </c>
      <c r="Y34" s="187">
        <v>5605.714285714289</v>
      </c>
      <c r="Z34" s="187">
        <v>5796.4285714285752</v>
      </c>
      <c r="AA34" s="187">
        <v>5983.714285714289</v>
      </c>
      <c r="AB34" s="187">
        <v>6167.571428571433</v>
      </c>
      <c r="AC34" s="187">
        <v>6348</v>
      </c>
      <c r="AD34" s="187">
        <v>6525</v>
      </c>
      <c r="AE34" s="186">
        <v>6698.5714285714339</v>
      </c>
      <c r="AF34" s="188">
        <v>6868.7142857142908</v>
      </c>
      <c r="AG34" s="187">
        <v>7035.428571428577</v>
      </c>
      <c r="AH34" s="187">
        <v>7198.7142857142917</v>
      </c>
      <c r="AI34" s="187">
        <v>7358.5714285714348</v>
      </c>
      <c r="AJ34" s="187">
        <v>7515.0000000000073</v>
      </c>
      <c r="AK34" s="186">
        <v>7668.0000000000073</v>
      </c>
    </row>
    <row r="35" spans="1:37" x14ac:dyDescent="0.2"/>
    <row r="36" spans="1:37" x14ac:dyDescent="0.2"/>
    <row r="37" spans="1:37" x14ac:dyDescent="0.2">
      <c r="A37" s="202" t="s">
        <v>240</v>
      </c>
      <c r="B37" s="202" t="s">
        <v>240</v>
      </c>
      <c r="E37" s="203"/>
      <c r="F37" s="203"/>
      <c r="G37" s="203"/>
      <c r="H37" s="204" t="s">
        <v>241</v>
      </c>
      <c r="I37" s="205"/>
      <c r="J37" s="203"/>
      <c r="K37" s="203"/>
      <c r="L37" s="202"/>
      <c r="M37" s="202"/>
      <c r="N37" s="202"/>
      <c r="O37" s="202"/>
      <c r="P37" s="202" t="s">
        <v>240</v>
      </c>
      <c r="Q37" s="202" t="s">
        <v>240</v>
      </c>
      <c r="R37" s="202" t="s">
        <v>240</v>
      </c>
      <c r="S37" s="202" t="s">
        <v>240</v>
      </c>
      <c r="T37" s="202" t="s">
        <v>240</v>
      </c>
      <c r="U37" s="202" t="s">
        <v>240</v>
      </c>
      <c r="V37" s="202" t="s">
        <v>240</v>
      </c>
      <c r="W37" s="202" t="s">
        <v>240</v>
      </c>
      <c r="X37" s="202" t="s">
        <v>240</v>
      </c>
      <c r="Y37" s="202" t="s">
        <v>240</v>
      </c>
      <c r="Z37" s="202" t="s">
        <v>240</v>
      </c>
      <c r="AA37" s="202" t="s">
        <v>240</v>
      </c>
      <c r="AB37" s="202" t="s">
        <v>240</v>
      </c>
      <c r="AC37" s="202" t="s">
        <v>240</v>
      </c>
      <c r="AD37" s="202" t="s">
        <v>240</v>
      </c>
      <c r="AE37" s="202" t="s">
        <v>240</v>
      </c>
    </row>
    <row r="38" spans="1:37" x14ac:dyDescent="0.2">
      <c r="A38" s="201" t="s">
        <v>239</v>
      </c>
      <c r="D38" s="201" t="s">
        <v>238</v>
      </c>
    </row>
    <row r="39" spans="1:37" x14ac:dyDescent="0.2">
      <c r="A39" s="171" t="s">
        <v>237</v>
      </c>
      <c r="B39" s="171">
        <v>1</v>
      </c>
      <c r="C39" s="171">
        <v>2</v>
      </c>
      <c r="D39" s="171">
        <v>3</v>
      </c>
      <c r="E39" s="171">
        <v>4</v>
      </c>
      <c r="F39" s="171">
        <v>5</v>
      </c>
      <c r="G39" s="171">
        <v>6</v>
      </c>
      <c r="H39" s="171">
        <v>7</v>
      </c>
      <c r="I39" s="171">
        <v>8</v>
      </c>
      <c r="J39" s="171">
        <v>9</v>
      </c>
      <c r="K39" s="171">
        <v>10</v>
      </c>
      <c r="L39" s="171">
        <v>11</v>
      </c>
      <c r="M39" s="171">
        <v>12</v>
      </c>
      <c r="N39" s="171">
        <v>13</v>
      </c>
      <c r="O39" s="171">
        <v>14</v>
      </c>
      <c r="P39" s="171">
        <v>15</v>
      </c>
      <c r="Q39" s="171">
        <v>16</v>
      </c>
      <c r="R39" s="171">
        <v>17</v>
      </c>
      <c r="S39" s="171">
        <v>18</v>
      </c>
      <c r="T39" s="171">
        <v>19</v>
      </c>
      <c r="U39" s="171">
        <v>20</v>
      </c>
      <c r="V39" s="171">
        <v>21</v>
      </c>
      <c r="W39" s="171">
        <v>22</v>
      </c>
      <c r="X39" s="171">
        <v>23</v>
      </c>
      <c r="Y39" s="171">
        <v>24</v>
      </c>
      <c r="Z39" s="171">
        <v>25</v>
      </c>
      <c r="AA39" s="171">
        <v>26</v>
      </c>
      <c r="AB39" s="171">
        <v>27</v>
      </c>
      <c r="AC39" s="171">
        <v>28</v>
      </c>
      <c r="AD39" s="171">
        <v>29</v>
      </c>
      <c r="AE39" s="171">
        <v>30</v>
      </c>
      <c r="AF39" s="171">
        <v>31</v>
      </c>
      <c r="AG39" s="171">
        <v>32</v>
      </c>
      <c r="AH39" s="171">
        <v>33</v>
      </c>
      <c r="AI39" s="171">
        <v>34</v>
      </c>
      <c r="AJ39" s="185">
        <v>35</v>
      </c>
      <c r="AK39" s="185">
        <v>36</v>
      </c>
    </row>
    <row r="40" spans="1:37" x14ac:dyDescent="0.2">
      <c r="A40" s="180">
        <v>1</v>
      </c>
      <c r="B40" s="177">
        <v>6.81</v>
      </c>
      <c r="C40" s="176">
        <v>6.81</v>
      </c>
      <c r="D40" s="176">
        <v>6.81</v>
      </c>
      <c r="E40" s="176">
        <v>6.81</v>
      </c>
      <c r="F40" s="176">
        <v>6.81</v>
      </c>
      <c r="G40" s="176">
        <v>6.81</v>
      </c>
      <c r="H40" s="176">
        <v>6.81</v>
      </c>
      <c r="I40" s="176">
        <v>6.81</v>
      </c>
      <c r="J40" s="176">
        <v>6.81</v>
      </c>
      <c r="K40" s="175">
        <v>6.81</v>
      </c>
      <c r="L40" s="177">
        <v>6.81</v>
      </c>
      <c r="M40" s="176">
        <v>6.81</v>
      </c>
      <c r="N40" s="176">
        <v>6.81</v>
      </c>
      <c r="O40" s="176">
        <v>6.81</v>
      </c>
      <c r="P40" s="176">
        <v>6.81</v>
      </c>
      <c r="Q40" s="176">
        <v>6.81</v>
      </c>
      <c r="R40" s="176">
        <v>6.81</v>
      </c>
      <c r="S40" s="176">
        <v>6.81</v>
      </c>
      <c r="T40" s="176">
        <v>6.81</v>
      </c>
      <c r="U40" s="175">
        <v>6.81</v>
      </c>
      <c r="V40" s="177">
        <v>7.26</v>
      </c>
      <c r="W40" s="176">
        <v>7.71</v>
      </c>
      <c r="X40" s="176">
        <v>7.71</v>
      </c>
      <c r="Y40" s="176">
        <v>8.17</v>
      </c>
      <c r="Z40" s="176">
        <v>8.6199999999999992</v>
      </c>
      <c r="AA40" s="176">
        <v>9.08</v>
      </c>
      <c r="AB40" s="176">
        <v>9.08</v>
      </c>
      <c r="AC40" s="176">
        <v>9.5299999999999994</v>
      </c>
      <c r="AD40" s="176">
        <v>9.98</v>
      </c>
      <c r="AE40" s="175">
        <v>10.44</v>
      </c>
      <c r="AF40" s="177">
        <v>10.44</v>
      </c>
      <c r="AG40" s="176">
        <v>10.89</v>
      </c>
      <c r="AH40" s="176">
        <v>11.34</v>
      </c>
      <c r="AI40" s="176">
        <v>11.8</v>
      </c>
      <c r="AJ40" s="182">
        <v>11.8</v>
      </c>
      <c r="AK40" s="181">
        <v>12.25</v>
      </c>
    </row>
    <row r="41" spans="1:37" x14ac:dyDescent="0.2">
      <c r="A41" s="180">
        <v>2</v>
      </c>
      <c r="B41" s="174">
        <v>6.81</v>
      </c>
      <c r="C41" s="173">
        <v>6.81</v>
      </c>
      <c r="D41" s="173">
        <v>6.81</v>
      </c>
      <c r="E41" s="173">
        <v>6.81</v>
      </c>
      <c r="F41" s="173">
        <v>6.81</v>
      </c>
      <c r="G41" s="173">
        <v>6.81</v>
      </c>
      <c r="H41" s="173">
        <v>6.81</v>
      </c>
      <c r="I41" s="173">
        <v>6.81</v>
      </c>
      <c r="J41" s="173">
        <v>6.81</v>
      </c>
      <c r="K41" s="172">
        <v>6.81</v>
      </c>
      <c r="L41" s="174">
        <v>7.71</v>
      </c>
      <c r="M41" s="173">
        <v>8.17</v>
      </c>
      <c r="N41" s="173">
        <v>9.08</v>
      </c>
      <c r="O41" s="173">
        <v>9.5299999999999994</v>
      </c>
      <c r="P41" s="173">
        <v>10.44</v>
      </c>
      <c r="Q41" s="173">
        <v>10.89</v>
      </c>
      <c r="R41" s="173">
        <v>11.8</v>
      </c>
      <c r="S41" s="173">
        <v>12.25</v>
      </c>
      <c r="T41" s="173">
        <v>13.16</v>
      </c>
      <c r="U41" s="172">
        <v>13.61</v>
      </c>
      <c r="V41" s="174">
        <v>14.52</v>
      </c>
      <c r="W41" s="173">
        <v>14.97</v>
      </c>
      <c r="X41" s="173">
        <v>15.88</v>
      </c>
      <c r="Y41" s="173">
        <v>16.34</v>
      </c>
      <c r="Z41" s="173">
        <v>17.239999999999998</v>
      </c>
      <c r="AA41" s="173">
        <v>17.7</v>
      </c>
      <c r="AB41" s="173">
        <v>18.600000000000001</v>
      </c>
      <c r="AC41" s="173">
        <v>19.059999999999999</v>
      </c>
      <c r="AD41" s="173">
        <v>19.97</v>
      </c>
      <c r="AE41" s="172">
        <v>20.420000000000002</v>
      </c>
      <c r="AF41" s="174">
        <v>21.33</v>
      </c>
      <c r="AG41" s="173">
        <v>21.78</v>
      </c>
      <c r="AH41" s="173">
        <v>22.69</v>
      </c>
      <c r="AI41" s="173">
        <v>23.14</v>
      </c>
      <c r="AJ41" s="179">
        <v>24.05</v>
      </c>
      <c r="AK41" s="178">
        <v>24.5</v>
      </c>
    </row>
    <row r="42" spans="1:37" x14ac:dyDescent="0.2">
      <c r="A42" s="180">
        <v>3</v>
      </c>
      <c r="B42" s="174">
        <v>6.81</v>
      </c>
      <c r="C42" s="173">
        <v>6.81</v>
      </c>
      <c r="D42" s="173">
        <v>6.81</v>
      </c>
      <c r="E42" s="173">
        <v>6.81</v>
      </c>
      <c r="F42" s="173">
        <v>6.81</v>
      </c>
      <c r="G42" s="173">
        <v>6.81</v>
      </c>
      <c r="H42" s="173">
        <v>7.26</v>
      </c>
      <c r="I42" s="173">
        <v>8.17</v>
      </c>
      <c r="J42" s="173">
        <v>9.08</v>
      </c>
      <c r="K42" s="172">
        <v>10.44</v>
      </c>
      <c r="L42" s="174">
        <v>11.34</v>
      </c>
      <c r="M42" s="173">
        <v>12.25</v>
      </c>
      <c r="N42" s="173">
        <v>13.16</v>
      </c>
      <c r="O42" s="173">
        <v>14.52</v>
      </c>
      <c r="P42" s="173">
        <v>15.43</v>
      </c>
      <c r="Q42" s="173">
        <v>16.34</v>
      </c>
      <c r="R42" s="173">
        <v>17.239999999999998</v>
      </c>
      <c r="S42" s="173">
        <v>18.600000000000001</v>
      </c>
      <c r="T42" s="173">
        <v>19.510000000000002</v>
      </c>
      <c r="U42" s="172">
        <v>20.420000000000002</v>
      </c>
      <c r="V42" s="174">
        <v>21.33</v>
      </c>
      <c r="W42" s="173">
        <v>22.69</v>
      </c>
      <c r="X42" s="173">
        <v>23.6</v>
      </c>
      <c r="Y42" s="173">
        <v>24.5</v>
      </c>
      <c r="Z42" s="173">
        <v>25.41</v>
      </c>
      <c r="AA42" s="173">
        <v>26.77</v>
      </c>
      <c r="AB42" s="173">
        <v>27.68</v>
      </c>
      <c r="AC42" s="173">
        <v>28.59</v>
      </c>
      <c r="AD42" s="173">
        <v>29.5</v>
      </c>
      <c r="AE42" s="172">
        <v>30.86</v>
      </c>
      <c r="AF42" s="174">
        <v>31.76</v>
      </c>
      <c r="AG42" s="173">
        <v>32.67</v>
      </c>
      <c r="AH42" s="173">
        <v>33.58</v>
      </c>
      <c r="AI42" s="173">
        <v>34.94</v>
      </c>
      <c r="AJ42" s="179">
        <v>35.85</v>
      </c>
      <c r="AK42" s="178">
        <v>36.76</v>
      </c>
    </row>
    <row r="43" spans="1:37" x14ac:dyDescent="0.2">
      <c r="A43" s="180">
        <v>4</v>
      </c>
      <c r="B43" s="174">
        <v>6.81</v>
      </c>
      <c r="C43" s="173">
        <v>6.81</v>
      </c>
      <c r="D43" s="173">
        <v>6.81</v>
      </c>
      <c r="E43" s="173">
        <v>6.81</v>
      </c>
      <c r="F43" s="173">
        <v>6.81</v>
      </c>
      <c r="G43" s="173">
        <v>8.17</v>
      </c>
      <c r="H43" s="173">
        <v>9.5299999999999994</v>
      </c>
      <c r="I43" s="173">
        <v>10.89</v>
      </c>
      <c r="J43" s="173">
        <v>12.25</v>
      </c>
      <c r="K43" s="172">
        <v>13.61</v>
      </c>
      <c r="L43" s="174">
        <v>14.97</v>
      </c>
      <c r="M43" s="173">
        <v>16.34</v>
      </c>
      <c r="N43" s="173">
        <v>17.7</v>
      </c>
      <c r="O43" s="173">
        <v>19.059999999999999</v>
      </c>
      <c r="P43" s="173">
        <v>20.420000000000002</v>
      </c>
      <c r="Q43" s="173">
        <v>21.78</v>
      </c>
      <c r="R43" s="173">
        <v>23.14</v>
      </c>
      <c r="S43" s="173">
        <v>24.5</v>
      </c>
      <c r="T43" s="173">
        <v>25.87</v>
      </c>
      <c r="U43" s="172">
        <v>27.23</v>
      </c>
      <c r="V43" s="174">
        <v>28.59</v>
      </c>
      <c r="W43" s="173">
        <v>29.95</v>
      </c>
      <c r="X43" s="173">
        <v>31.31</v>
      </c>
      <c r="Y43" s="173">
        <v>32.67</v>
      </c>
      <c r="Z43" s="173">
        <v>34.03</v>
      </c>
      <c r="AA43" s="173">
        <v>35.39</v>
      </c>
      <c r="AB43" s="173">
        <v>36.76</v>
      </c>
      <c r="AC43" s="173">
        <v>38.119999999999997</v>
      </c>
      <c r="AD43" s="173">
        <v>39.479999999999997</v>
      </c>
      <c r="AE43" s="172">
        <v>40.840000000000003</v>
      </c>
      <c r="AF43" s="174">
        <v>42.2</v>
      </c>
      <c r="AG43" s="173">
        <v>43.56</v>
      </c>
      <c r="AH43" s="173">
        <v>44.92</v>
      </c>
      <c r="AI43" s="173">
        <v>46.29</v>
      </c>
      <c r="AJ43" s="179">
        <v>47.65</v>
      </c>
      <c r="AK43" s="178">
        <v>49.01</v>
      </c>
    </row>
    <row r="44" spans="1:37" x14ac:dyDescent="0.2">
      <c r="A44" s="180">
        <v>5</v>
      </c>
      <c r="B44" s="170">
        <v>6.81</v>
      </c>
      <c r="C44" s="169">
        <v>6.81</v>
      </c>
      <c r="D44" s="169">
        <v>6.81</v>
      </c>
      <c r="E44" s="169">
        <v>6.81</v>
      </c>
      <c r="F44" s="169">
        <v>8.6199999999999992</v>
      </c>
      <c r="G44" s="169">
        <v>10.44</v>
      </c>
      <c r="H44" s="169">
        <v>11.8</v>
      </c>
      <c r="I44" s="169">
        <v>13.61</v>
      </c>
      <c r="J44" s="169">
        <v>15.43</v>
      </c>
      <c r="K44" s="168">
        <v>17.239999999999998</v>
      </c>
      <c r="L44" s="170">
        <v>18.600000000000001</v>
      </c>
      <c r="M44" s="169">
        <v>20.420000000000002</v>
      </c>
      <c r="N44" s="169">
        <v>22.24</v>
      </c>
      <c r="O44" s="169">
        <v>24.05</v>
      </c>
      <c r="P44" s="169">
        <v>25.41</v>
      </c>
      <c r="Q44" s="169">
        <v>27.23</v>
      </c>
      <c r="R44" s="169">
        <v>29.04</v>
      </c>
      <c r="S44" s="169">
        <v>30.86</v>
      </c>
      <c r="T44" s="169">
        <v>32.22</v>
      </c>
      <c r="U44" s="168">
        <v>34.03</v>
      </c>
      <c r="V44" s="170">
        <v>35.85</v>
      </c>
      <c r="W44" s="169">
        <v>37.659999999999997</v>
      </c>
      <c r="X44" s="169">
        <v>39.03</v>
      </c>
      <c r="Y44" s="169">
        <v>40.840000000000003</v>
      </c>
      <c r="Z44" s="169">
        <v>42.66</v>
      </c>
      <c r="AA44" s="169">
        <v>44.47</v>
      </c>
      <c r="AB44" s="169">
        <v>45.95</v>
      </c>
      <c r="AC44" s="169">
        <v>47.65</v>
      </c>
      <c r="AD44" s="169">
        <v>49.35</v>
      </c>
      <c r="AE44" s="168">
        <v>51.05</v>
      </c>
      <c r="AF44" s="170">
        <v>52.75</v>
      </c>
      <c r="AG44" s="169">
        <v>54.45</v>
      </c>
      <c r="AH44" s="169">
        <v>56.16</v>
      </c>
      <c r="AI44" s="169">
        <v>57.86</v>
      </c>
      <c r="AJ44" s="184">
        <v>59.56</v>
      </c>
      <c r="AK44" s="183">
        <v>61.26</v>
      </c>
    </row>
    <row r="45" spans="1:37" x14ac:dyDescent="0.2">
      <c r="A45" s="180">
        <v>6</v>
      </c>
      <c r="B45" s="177">
        <v>6.81</v>
      </c>
      <c r="C45" s="176">
        <v>6.81</v>
      </c>
      <c r="D45" s="176">
        <v>6.81</v>
      </c>
      <c r="E45" s="176">
        <v>8.17</v>
      </c>
      <c r="F45" s="176">
        <v>10.44</v>
      </c>
      <c r="G45" s="176">
        <v>12.25</v>
      </c>
      <c r="H45" s="176">
        <v>14.52</v>
      </c>
      <c r="I45" s="176">
        <v>16.34</v>
      </c>
      <c r="J45" s="176">
        <v>18.600000000000001</v>
      </c>
      <c r="K45" s="175">
        <v>20.420000000000002</v>
      </c>
      <c r="L45" s="177">
        <v>22.69</v>
      </c>
      <c r="M45" s="176">
        <v>24.5</v>
      </c>
      <c r="N45" s="176">
        <v>26.77</v>
      </c>
      <c r="O45" s="176">
        <v>28.59</v>
      </c>
      <c r="P45" s="176">
        <v>30.86</v>
      </c>
      <c r="Q45" s="176">
        <v>32.67</v>
      </c>
      <c r="R45" s="176">
        <v>34.94</v>
      </c>
      <c r="S45" s="176">
        <v>36.76</v>
      </c>
      <c r="T45" s="176">
        <v>39.03</v>
      </c>
      <c r="U45" s="175">
        <v>40.840000000000003</v>
      </c>
      <c r="V45" s="177">
        <v>43.11</v>
      </c>
      <c r="W45" s="176">
        <v>44.92</v>
      </c>
      <c r="X45" s="176">
        <v>46.97</v>
      </c>
      <c r="Y45" s="176">
        <v>49.01</v>
      </c>
      <c r="Z45" s="176">
        <v>51.05</v>
      </c>
      <c r="AA45" s="176">
        <v>53.09</v>
      </c>
      <c r="AB45" s="176">
        <v>55.13</v>
      </c>
      <c r="AC45" s="176">
        <v>57.18</v>
      </c>
      <c r="AD45" s="176">
        <v>59.22</v>
      </c>
      <c r="AE45" s="175">
        <v>61.26</v>
      </c>
      <c r="AF45" s="177">
        <v>63.3</v>
      </c>
      <c r="AG45" s="176">
        <v>65.34</v>
      </c>
      <c r="AH45" s="176">
        <v>67.39</v>
      </c>
      <c r="AI45" s="176">
        <v>69.430000000000007</v>
      </c>
      <c r="AJ45" s="182">
        <v>71.47</v>
      </c>
      <c r="AK45" s="181">
        <v>73.510000000000005</v>
      </c>
    </row>
    <row r="46" spans="1:37" x14ac:dyDescent="0.2">
      <c r="A46" s="180">
        <v>7</v>
      </c>
      <c r="B46" s="174">
        <v>6.81</v>
      </c>
      <c r="C46" s="173">
        <v>6.81</v>
      </c>
      <c r="D46" s="173">
        <v>7.26</v>
      </c>
      <c r="E46" s="173">
        <v>9.5299999999999994</v>
      </c>
      <c r="F46" s="173">
        <v>11.8</v>
      </c>
      <c r="G46" s="173">
        <v>14.52</v>
      </c>
      <c r="H46" s="173">
        <v>16.79</v>
      </c>
      <c r="I46" s="173">
        <v>19.059999999999999</v>
      </c>
      <c r="J46" s="173">
        <v>21.33</v>
      </c>
      <c r="K46" s="172">
        <v>24.05</v>
      </c>
      <c r="L46" s="174">
        <v>26.32</v>
      </c>
      <c r="M46" s="173">
        <v>28.59</v>
      </c>
      <c r="N46" s="173">
        <v>30.86</v>
      </c>
      <c r="O46" s="173">
        <v>33.58</v>
      </c>
      <c r="P46" s="173">
        <v>35.85</v>
      </c>
      <c r="Q46" s="173">
        <v>38.119999999999997</v>
      </c>
      <c r="R46" s="173">
        <v>40.39</v>
      </c>
      <c r="S46" s="173">
        <v>43.11</v>
      </c>
      <c r="T46" s="173">
        <v>45.38</v>
      </c>
      <c r="U46" s="172">
        <v>47.65</v>
      </c>
      <c r="V46" s="174">
        <v>50.03</v>
      </c>
      <c r="W46" s="173">
        <v>52.41</v>
      </c>
      <c r="X46" s="173">
        <v>54.79</v>
      </c>
      <c r="Y46" s="173">
        <v>57.18</v>
      </c>
      <c r="Z46" s="173">
        <v>59.56</v>
      </c>
      <c r="AA46" s="173">
        <v>61.94</v>
      </c>
      <c r="AB46" s="173">
        <v>64.319999999999993</v>
      </c>
      <c r="AC46" s="173">
        <v>66.709999999999994</v>
      </c>
      <c r="AD46" s="173">
        <v>69.09</v>
      </c>
      <c r="AE46" s="172">
        <v>71.47</v>
      </c>
      <c r="AF46" s="174">
        <v>73.849999999999994</v>
      </c>
      <c r="AG46" s="173">
        <v>76.239999999999995</v>
      </c>
      <c r="AH46" s="173">
        <v>78.62</v>
      </c>
      <c r="AI46" s="173">
        <v>81</v>
      </c>
      <c r="AJ46" s="179">
        <v>83.38</v>
      </c>
      <c r="AK46" s="178">
        <v>85.76</v>
      </c>
    </row>
    <row r="47" spans="1:37" x14ac:dyDescent="0.2">
      <c r="A47" s="180">
        <v>8</v>
      </c>
      <c r="B47" s="174">
        <v>6.81</v>
      </c>
      <c r="C47" s="173">
        <v>6.81</v>
      </c>
      <c r="D47" s="173">
        <v>8.17</v>
      </c>
      <c r="E47" s="173">
        <v>10.89</v>
      </c>
      <c r="F47" s="173">
        <v>13.61</v>
      </c>
      <c r="G47" s="173">
        <v>16.34</v>
      </c>
      <c r="H47" s="173">
        <v>19.059999999999999</v>
      </c>
      <c r="I47" s="173">
        <v>21.78</v>
      </c>
      <c r="J47" s="173">
        <v>24.5</v>
      </c>
      <c r="K47" s="172">
        <v>27.23</v>
      </c>
      <c r="L47" s="174">
        <v>29.95</v>
      </c>
      <c r="M47" s="173">
        <v>32.67</v>
      </c>
      <c r="N47" s="173">
        <v>35.39</v>
      </c>
      <c r="O47" s="173">
        <v>38.119999999999997</v>
      </c>
      <c r="P47" s="173">
        <v>40.840000000000003</v>
      </c>
      <c r="Q47" s="173">
        <v>43.56</v>
      </c>
      <c r="R47" s="173">
        <v>46.29</v>
      </c>
      <c r="S47" s="173">
        <v>49.01</v>
      </c>
      <c r="T47" s="173">
        <v>51.73</v>
      </c>
      <c r="U47" s="172">
        <v>54.45</v>
      </c>
      <c r="V47" s="174">
        <v>57.18</v>
      </c>
      <c r="W47" s="173">
        <v>59.9</v>
      </c>
      <c r="X47" s="173">
        <v>62.62</v>
      </c>
      <c r="Y47" s="173">
        <v>65.34</v>
      </c>
      <c r="Z47" s="173">
        <v>68.069999999999993</v>
      </c>
      <c r="AA47" s="173">
        <v>70.790000000000006</v>
      </c>
      <c r="AB47" s="173">
        <v>73.510000000000005</v>
      </c>
      <c r="AC47" s="173">
        <v>76.239999999999995</v>
      </c>
      <c r="AD47" s="173">
        <v>78.959999999999994</v>
      </c>
      <c r="AE47" s="172">
        <v>81.680000000000007</v>
      </c>
      <c r="AF47" s="174">
        <v>84.4</v>
      </c>
      <c r="AG47" s="173">
        <v>87.13</v>
      </c>
      <c r="AH47" s="173">
        <v>89.85</v>
      </c>
      <c r="AI47" s="173">
        <v>92.57</v>
      </c>
      <c r="AJ47" s="179">
        <v>95.29</v>
      </c>
      <c r="AK47" s="178">
        <v>98.02</v>
      </c>
    </row>
    <row r="48" spans="1:37" x14ac:dyDescent="0.2">
      <c r="A48" s="180">
        <v>9</v>
      </c>
      <c r="B48" s="174">
        <v>6.81</v>
      </c>
      <c r="C48" s="173">
        <v>6.81</v>
      </c>
      <c r="D48" s="173">
        <v>9.5299999999999994</v>
      </c>
      <c r="E48" s="173">
        <v>12.25</v>
      </c>
      <c r="F48" s="173">
        <v>15.43</v>
      </c>
      <c r="G48" s="173">
        <v>18.600000000000001</v>
      </c>
      <c r="H48" s="173">
        <v>21.33</v>
      </c>
      <c r="I48" s="173">
        <v>24.5</v>
      </c>
      <c r="J48" s="173">
        <v>27.68</v>
      </c>
      <c r="K48" s="172">
        <v>30.86</v>
      </c>
      <c r="L48" s="174">
        <v>33.58</v>
      </c>
      <c r="M48" s="173">
        <v>36.76</v>
      </c>
      <c r="N48" s="173">
        <v>39.93</v>
      </c>
      <c r="O48" s="173">
        <v>43.11</v>
      </c>
      <c r="P48" s="173">
        <v>45.95</v>
      </c>
      <c r="Q48" s="173">
        <v>49.01</v>
      </c>
      <c r="R48" s="173">
        <v>52.07</v>
      </c>
      <c r="S48" s="173">
        <v>55.13</v>
      </c>
      <c r="T48" s="173">
        <v>58.2</v>
      </c>
      <c r="U48" s="172">
        <v>61.26</v>
      </c>
      <c r="V48" s="174">
        <v>64.319999999999993</v>
      </c>
      <c r="W48" s="173">
        <v>67.39</v>
      </c>
      <c r="X48" s="173">
        <v>70.45</v>
      </c>
      <c r="Y48" s="173">
        <v>73.510000000000005</v>
      </c>
      <c r="Z48" s="173">
        <v>76.58</v>
      </c>
      <c r="AA48" s="173">
        <v>79.64</v>
      </c>
      <c r="AB48" s="173">
        <v>82.7</v>
      </c>
      <c r="AC48" s="173">
        <v>85.76</v>
      </c>
      <c r="AD48" s="173">
        <v>88.83</v>
      </c>
      <c r="AE48" s="172">
        <v>91.89</v>
      </c>
      <c r="AF48" s="174">
        <v>94.95</v>
      </c>
      <c r="AG48" s="173">
        <v>98.02</v>
      </c>
      <c r="AH48" s="173">
        <v>101.1</v>
      </c>
      <c r="AI48" s="173">
        <v>104.1</v>
      </c>
      <c r="AJ48" s="179">
        <v>107.2</v>
      </c>
      <c r="AK48" s="178">
        <v>110.3</v>
      </c>
    </row>
    <row r="49" spans="1:37" x14ac:dyDescent="0.2">
      <c r="A49" s="180">
        <v>10</v>
      </c>
      <c r="B49" s="170">
        <v>6.81</v>
      </c>
      <c r="C49" s="169">
        <v>6.81</v>
      </c>
      <c r="D49" s="169">
        <v>10.44</v>
      </c>
      <c r="E49" s="169">
        <v>13.61</v>
      </c>
      <c r="F49" s="169">
        <v>17.239999999999998</v>
      </c>
      <c r="G49" s="169">
        <v>20.420000000000002</v>
      </c>
      <c r="H49" s="169">
        <v>24.05</v>
      </c>
      <c r="I49" s="169">
        <v>27.23</v>
      </c>
      <c r="J49" s="169">
        <v>30.86</v>
      </c>
      <c r="K49" s="168">
        <v>34.03</v>
      </c>
      <c r="L49" s="170">
        <v>37.659999999999997</v>
      </c>
      <c r="M49" s="169">
        <v>40.840000000000003</v>
      </c>
      <c r="N49" s="169">
        <v>44.47</v>
      </c>
      <c r="O49" s="169">
        <v>47.65</v>
      </c>
      <c r="P49" s="169">
        <v>51.05</v>
      </c>
      <c r="Q49" s="169">
        <v>54.45</v>
      </c>
      <c r="R49" s="169">
        <v>57.86</v>
      </c>
      <c r="S49" s="169">
        <v>61.26</v>
      </c>
      <c r="T49" s="169">
        <v>64.66</v>
      </c>
      <c r="U49" s="168">
        <v>68.069999999999993</v>
      </c>
      <c r="V49" s="170">
        <v>71.47</v>
      </c>
      <c r="W49" s="169">
        <v>74.87</v>
      </c>
      <c r="X49" s="169">
        <v>78.28</v>
      </c>
      <c r="Y49" s="169">
        <v>81.680000000000007</v>
      </c>
      <c r="Z49" s="169">
        <v>85.08</v>
      </c>
      <c r="AA49" s="169">
        <v>88.49</v>
      </c>
      <c r="AB49" s="169">
        <v>91.89</v>
      </c>
      <c r="AC49" s="169">
        <v>95.29</v>
      </c>
      <c r="AD49" s="169">
        <v>98.7</v>
      </c>
      <c r="AE49" s="168">
        <v>102.1</v>
      </c>
      <c r="AF49" s="170">
        <v>105.5</v>
      </c>
      <c r="AG49" s="169">
        <v>108.9</v>
      </c>
      <c r="AH49" s="169">
        <v>112.3</v>
      </c>
      <c r="AI49" s="169">
        <v>115.7</v>
      </c>
      <c r="AJ49" s="184">
        <v>119.1</v>
      </c>
      <c r="AK49" s="183">
        <v>122.5</v>
      </c>
    </row>
    <row r="50" spans="1:37" x14ac:dyDescent="0.2">
      <c r="A50" s="180">
        <v>11</v>
      </c>
      <c r="B50" s="177">
        <v>6.81</v>
      </c>
      <c r="C50" s="176">
        <v>7.71</v>
      </c>
      <c r="D50" s="176">
        <v>11.34</v>
      </c>
      <c r="E50" s="176">
        <v>14.97</v>
      </c>
      <c r="F50" s="176">
        <v>18.600000000000001</v>
      </c>
      <c r="G50" s="176">
        <v>22.69</v>
      </c>
      <c r="H50" s="176">
        <v>26.32</v>
      </c>
      <c r="I50" s="176">
        <v>29.95</v>
      </c>
      <c r="J50" s="176">
        <v>33.58</v>
      </c>
      <c r="K50" s="175">
        <v>37.659999999999997</v>
      </c>
      <c r="L50" s="177">
        <v>41.75</v>
      </c>
      <c r="M50" s="176">
        <v>44.92</v>
      </c>
      <c r="N50" s="176">
        <v>48.67</v>
      </c>
      <c r="O50" s="176">
        <v>52.41</v>
      </c>
      <c r="P50" s="176">
        <v>56.16</v>
      </c>
      <c r="Q50" s="176">
        <v>59.9</v>
      </c>
      <c r="R50" s="176">
        <v>63.64</v>
      </c>
      <c r="S50" s="176">
        <v>67.39</v>
      </c>
      <c r="T50" s="176">
        <v>71.13</v>
      </c>
      <c r="U50" s="175">
        <v>74.87</v>
      </c>
      <c r="V50" s="177">
        <v>78.599999999999994</v>
      </c>
      <c r="W50" s="176">
        <v>82.4</v>
      </c>
      <c r="X50" s="176">
        <v>86.1</v>
      </c>
      <c r="Y50" s="176">
        <v>89.8</v>
      </c>
      <c r="Z50" s="176">
        <v>93.6</v>
      </c>
      <c r="AA50" s="176">
        <v>97.3</v>
      </c>
      <c r="AB50" s="176">
        <v>101.1</v>
      </c>
      <c r="AC50" s="176">
        <v>104.8</v>
      </c>
      <c r="AD50" s="176">
        <v>108.6</v>
      </c>
      <c r="AE50" s="175">
        <v>112.3</v>
      </c>
      <c r="AF50" s="177">
        <v>116.1</v>
      </c>
      <c r="AG50" s="176">
        <v>119.8</v>
      </c>
      <c r="AH50" s="176">
        <v>123.5</v>
      </c>
      <c r="AI50" s="176">
        <v>127.3</v>
      </c>
      <c r="AJ50" s="182">
        <v>131</v>
      </c>
      <c r="AK50" s="181">
        <v>134.80000000000001</v>
      </c>
    </row>
    <row r="51" spans="1:37" x14ac:dyDescent="0.2">
      <c r="A51" s="180">
        <v>12</v>
      </c>
      <c r="B51" s="174">
        <v>6.81</v>
      </c>
      <c r="C51" s="173">
        <v>8.17</v>
      </c>
      <c r="D51" s="173">
        <v>12.25</v>
      </c>
      <c r="E51" s="173">
        <v>16.34</v>
      </c>
      <c r="F51" s="173">
        <v>20.420000000000002</v>
      </c>
      <c r="G51" s="173">
        <v>24.5</v>
      </c>
      <c r="H51" s="173">
        <v>28.59</v>
      </c>
      <c r="I51" s="173">
        <v>32.67</v>
      </c>
      <c r="J51" s="173">
        <v>36.76</v>
      </c>
      <c r="K51" s="172">
        <v>40.840000000000003</v>
      </c>
      <c r="L51" s="174">
        <v>44.92</v>
      </c>
      <c r="M51" s="173">
        <v>49.01</v>
      </c>
      <c r="N51" s="173">
        <v>53.09</v>
      </c>
      <c r="O51" s="173">
        <v>57.18</v>
      </c>
      <c r="P51" s="173">
        <v>61.26</v>
      </c>
      <c r="Q51" s="173">
        <v>65.34</v>
      </c>
      <c r="R51" s="173">
        <v>69.430000000000007</v>
      </c>
      <c r="S51" s="173">
        <v>73.510000000000005</v>
      </c>
      <c r="T51" s="173">
        <v>77.599999999999994</v>
      </c>
      <c r="U51" s="172">
        <v>81.680000000000007</v>
      </c>
      <c r="V51" s="174">
        <v>85.8</v>
      </c>
      <c r="W51" s="173">
        <v>89.8</v>
      </c>
      <c r="X51" s="173">
        <v>93.9</v>
      </c>
      <c r="Y51" s="173">
        <v>98</v>
      </c>
      <c r="Z51" s="173">
        <v>102.1</v>
      </c>
      <c r="AA51" s="173">
        <v>106.2</v>
      </c>
      <c r="AB51" s="173">
        <v>110.3</v>
      </c>
      <c r="AC51" s="173">
        <v>114.4</v>
      </c>
      <c r="AD51" s="173">
        <v>118.4</v>
      </c>
      <c r="AE51" s="172">
        <v>122.5</v>
      </c>
      <c r="AF51" s="174">
        <v>126.6</v>
      </c>
      <c r="AG51" s="173">
        <v>130.69999999999999</v>
      </c>
      <c r="AH51" s="173">
        <v>134.80000000000001</v>
      </c>
      <c r="AI51" s="173">
        <v>138.9</v>
      </c>
      <c r="AJ51" s="179">
        <v>142.9</v>
      </c>
      <c r="AK51" s="178">
        <v>147</v>
      </c>
    </row>
    <row r="52" spans="1:37" x14ac:dyDescent="0.2">
      <c r="A52" s="180">
        <v>13</v>
      </c>
      <c r="B52" s="174">
        <v>6.81</v>
      </c>
      <c r="C52" s="173">
        <v>9.08</v>
      </c>
      <c r="D52" s="173">
        <v>13.16</v>
      </c>
      <c r="E52" s="173">
        <v>17.7</v>
      </c>
      <c r="F52" s="173">
        <v>22.24</v>
      </c>
      <c r="G52" s="173">
        <v>26.77</v>
      </c>
      <c r="H52" s="173">
        <v>30.86</v>
      </c>
      <c r="I52" s="173">
        <v>35.39</v>
      </c>
      <c r="J52" s="173">
        <v>39.93</v>
      </c>
      <c r="K52" s="172">
        <v>44.47</v>
      </c>
      <c r="L52" s="174">
        <v>48.67</v>
      </c>
      <c r="M52" s="173">
        <v>53.09</v>
      </c>
      <c r="N52" s="173">
        <v>57.52</v>
      </c>
      <c r="O52" s="173">
        <v>61.94</v>
      </c>
      <c r="P52" s="173">
        <v>66.37</v>
      </c>
      <c r="Q52" s="173">
        <v>70.790000000000006</v>
      </c>
      <c r="R52" s="173">
        <v>75.209999999999994</v>
      </c>
      <c r="S52" s="173">
        <v>79.64</v>
      </c>
      <c r="T52" s="173">
        <v>84.06</v>
      </c>
      <c r="U52" s="172">
        <v>88.49</v>
      </c>
      <c r="V52" s="174">
        <v>92.9</v>
      </c>
      <c r="W52" s="173">
        <v>97.3</v>
      </c>
      <c r="X52" s="173">
        <v>101.8</v>
      </c>
      <c r="Y52" s="173">
        <v>106.2</v>
      </c>
      <c r="Z52" s="173">
        <v>110.6</v>
      </c>
      <c r="AA52" s="173">
        <v>115</v>
      </c>
      <c r="AB52" s="173">
        <v>119.5</v>
      </c>
      <c r="AC52" s="173">
        <v>123.9</v>
      </c>
      <c r="AD52" s="173">
        <v>128.30000000000001</v>
      </c>
      <c r="AE52" s="172">
        <v>132.69999999999999</v>
      </c>
      <c r="AF52" s="174">
        <v>137.19999999999999</v>
      </c>
      <c r="AG52" s="173">
        <v>141.6</v>
      </c>
      <c r="AH52" s="173">
        <v>146</v>
      </c>
      <c r="AI52" s="173">
        <v>150.4</v>
      </c>
      <c r="AJ52" s="179">
        <v>154.9</v>
      </c>
      <c r="AK52" s="178">
        <v>159.30000000000001</v>
      </c>
    </row>
    <row r="53" spans="1:37" x14ac:dyDescent="0.2">
      <c r="A53" s="180">
        <v>14</v>
      </c>
      <c r="B53" s="174">
        <v>6.81</v>
      </c>
      <c r="C53" s="173">
        <v>9.5299999999999994</v>
      </c>
      <c r="D53" s="173">
        <v>14.52</v>
      </c>
      <c r="E53" s="173">
        <v>19.059999999999999</v>
      </c>
      <c r="F53" s="173">
        <v>24.05</v>
      </c>
      <c r="G53" s="173">
        <v>28.59</v>
      </c>
      <c r="H53" s="173">
        <v>33.58</v>
      </c>
      <c r="I53" s="173">
        <v>38.119999999999997</v>
      </c>
      <c r="J53" s="173">
        <v>43.11</v>
      </c>
      <c r="K53" s="172">
        <v>47.65</v>
      </c>
      <c r="L53" s="174">
        <v>52.41</v>
      </c>
      <c r="M53" s="173">
        <v>57.18</v>
      </c>
      <c r="N53" s="173">
        <v>61.94</v>
      </c>
      <c r="O53" s="173">
        <v>66.709999999999994</v>
      </c>
      <c r="P53" s="173">
        <v>71.47</v>
      </c>
      <c r="Q53" s="173">
        <v>76.239999999999995</v>
      </c>
      <c r="R53" s="173">
        <v>81</v>
      </c>
      <c r="S53" s="173">
        <v>85.76</v>
      </c>
      <c r="T53" s="173">
        <v>90.53</v>
      </c>
      <c r="U53" s="172">
        <v>95.29</v>
      </c>
      <c r="V53" s="174">
        <v>100.1</v>
      </c>
      <c r="W53" s="173">
        <v>104.8</v>
      </c>
      <c r="X53" s="173">
        <v>109.6</v>
      </c>
      <c r="Y53" s="173">
        <v>114.4</v>
      </c>
      <c r="Z53" s="173">
        <v>119.1</v>
      </c>
      <c r="AA53" s="173">
        <v>123.9</v>
      </c>
      <c r="AB53" s="173">
        <v>128.6</v>
      </c>
      <c r="AC53" s="173">
        <v>133.4</v>
      </c>
      <c r="AD53" s="173">
        <v>138.19999999999999</v>
      </c>
      <c r="AE53" s="172">
        <v>142.9</v>
      </c>
      <c r="AF53" s="174">
        <v>147.69999999999999</v>
      </c>
      <c r="AG53" s="173">
        <v>152.5</v>
      </c>
      <c r="AH53" s="173">
        <v>157.19999999999999</v>
      </c>
      <c r="AI53" s="173">
        <v>162</v>
      </c>
      <c r="AJ53" s="179">
        <v>166.8</v>
      </c>
      <c r="AK53" s="178">
        <v>171.5</v>
      </c>
    </row>
    <row r="54" spans="1:37" x14ac:dyDescent="0.2">
      <c r="A54" s="180">
        <v>15</v>
      </c>
      <c r="B54" s="170">
        <v>6.81</v>
      </c>
      <c r="C54" s="169">
        <v>10.44</v>
      </c>
      <c r="D54" s="169">
        <v>15.43</v>
      </c>
      <c r="E54" s="169">
        <v>20.420000000000002</v>
      </c>
      <c r="F54" s="169">
        <v>25.41</v>
      </c>
      <c r="G54" s="169">
        <v>30.86</v>
      </c>
      <c r="H54" s="169">
        <v>35.85</v>
      </c>
      <c r="I54" s="169">
        <v>40.840000000000003</v>
      </c>
      <c r="J54" s="169">
        <v>45.95</v>
      </c>
      <c r="K54" s="168">
        <v>51.05</v>
      </c>
      <c r="L54" s="170">
        <v>56.16</v>
      </c>
      <c r="M54" s="169">
        <v>61.26</v>
      </c>
      <c r="N54" s="169">
        <v>66.37</v>
      </c>
      <c r="O54" s="169">
        <v>71.47</v>
      </c>
      <c r="P54" s="169">
        <v>76.58</v>
      </c>
      <c r="Q54" s="169">
        <v>81.680000000000007</v>
      </c>
      <c r="R54" s="169">
        <v>86.79</v>
      </c>
      <c r="S54" s="169">
        <v>91.89</v>
      </c>
      <c r="T54" s="169">
        <v>97</v>
      </c>
      <c r="U54" s="168">
        <v>102.1</v>
      </c>
      <c r="V54" s="170">
        <v>107.2</v>
      </c>
      <c r="W54" s="169">
        <v>112.3</v>
      </c>
      <c r="X54" s="169">
        <v>117.4</v>
      </c>
      <c r="Y54" s="169">
        <v>122.5</v>
      </c>
      <c r="Z54" s="169">
        <v>127.6</v>
      </c>
      <c r="AA54" s="169">
        <v>132.69999999999999</v>
      </c>
      <c r="AB54" s="169">
        <v>137.80000000000001</v>
      </c>
      <c r="AC54" s="169">
        <v>142.9</v>
      </c>
      <c r="AD54" s="169">
        <v>148</v>
      </c>
      <c r="AE54" s="168">
        <v>153.19999999999999</v>
      </c>
      <c r="AF54" s="170">
        <v>158.30000000000001</v>
      </c>
      <c r="AG54" s="169">
        <v>163.4</v>
      </c>
      <c r="AH54" s="169">
        <v>168.5</v>
      </c>
      <c r="AI54" s="169">
        <v>173.6</v>
      </c>
      <c r="AJ54" s="184">
        <v>178.7</v>
      </c>
      <c r="AK54" s="183">
        <v>183.8</v>
      </c>
    </row>
    <row r="55" spans="1:37" x14ac:dyDescent="0.2">
      <c r="A55" s="180">
        <v>16</v>
      </c>
      <c r="B55" s="177">
        <v>6.81</v>
      </c>
      <c r="C55" s="176">
        <v>10.89</v>
      </c>
      <c r="D55" s="176">
        <v>16.34</v>
      </c>
      <c r="E55" s="176">
        <v>21.78</v>
      </c>
      <c r="F55" s="176">
        <v>27.23</v>
      </c>
      <c r="G55" s="176">
        <v>32.67</v>
      </c>
      <c r="H55" s="176">
        <v>38.119999999999997</v>
      </c>
      <c r="I55" s="176">
        <v>43.56</v>
      </c>
      <c r="J55" s="176">
        <v>49.01</v>
      </c>
      <c r="K55" s="175">
        <v>54.45</v>
      </c>
      <c r="L55" s="177">
        <v>59.9</v>
      </c>
      <c r="M55" s="176">
        <v>65.34</v>
      </c>
      <c r="N55" s="176">
        <v>70.790000000000006</v>
      </c>
      <c r="O55" s="176">
        <v>76.239999999999995</v>
      </c>
      <c r="P55" s="176">
        <v>81.680000000000007</v>
      </c>
      <c r="Q55" s="176">
        <v>87.13</v>
      </c>
      <c r="R55" s="176">
        <v>92.57</v>
      </c>
      <c r="S55" s="176">
        <v>98.02</v>
      </c>
      <c r="T55" s="176">
        <v>103.5</v>
      </c>
      <c r="U55" s="175">
        <v>108.9</v>
      </c>
      <c r="V55" s="177">
        <v>114.4</v>
      </c>
      <c r="W55" s="176">
        <v>119.8</v>
      </c>
      <c r="X55" s="176">
        <v>125.2</v>
      </c>
      <c r="Y55" s="176">
        <v>130.69999999999999</v>
      </c>
      <c r="Z55" s="176">
        <v>136.1</v>
      </c>
      <c r="AA55" s="176">
        <v>141.6</v>
      </c>
      <c r="AB55" s="176">
        <v>147</v>
      </c>
      <c r="AC55" s="176">
        <v>152.5</v>
      </c>
      <c r="AD55" s="176">
        <v>157.9</v>
      </c>
      <c r="AE55" s="175">
        <v>163.4</v>
      </c>
      <c r="AF55" s="177">
        <v>168.8</v>
      </c>
      <c r="AG55" s="176">
        <v>174.3</v>
      </c>
      <c r="AH55" s="176">
        <v>179.7</v>
      </c>
      <c r="AI55" s="176">
        <v>185.1</v>
      </c>
      <c r="AJ55" s="182">
        <v>190.6</v>
      </c>
      <c r="AK55" s="181">
        <v>196</v>
      </c>
    </row>
    <row r="56" spans="1:37" x14ac:dyDescent="0.2">
      <c r="A56" s="180">
        <v>17</v>
      </c>
      <c r="B56" s="174">
        <v>6.81</v>
      </c>
      <c r="C56" s="173">
        <v>11.8</v>
      </c>
      <c r="D56" s="173">
        <v>17.239999999999998</v>
      </c>
      <c r="E56" s="173">
        <v>23.14</v>
      </c>
      <c r="F56" s="173">
        <v>29.04</v>
      </c>
      <c r="G56" s="173">
        <v>34.94</v>
      </c>
      <c r="H56" s="173">
        <v>40.39</v>
      </c>
      <c r="I56" s="173">
        <v>46.29</v>
      </c>
      <c r="J56" s="173">
        <v>52.07</v>
      </c>
      <c r="K56" s="172">
        <v>57.86</v>
      </c>
      <c r="L56" s="174">
        <v>63.64</v>
      </c>
      <c r="M56" s="173">
        <v>69.430000000000007</v>
      </c>
      <c r="N56" s="173">
        <v>75.209999999999994</v>
      </c>
      <c r="O56" s="173">
        <v>81</v>
      </c>
      <c r="P56" s="173">
        <v>86.79</v>
      </c>
      <c r="Q56" s="173">
        <v>92.57</v>
      </c>
      <c r="R56" s="173">
        <v>98.36</v>
      </c>
      <c r="S56" s="173">
        <v>104.1</v>
      </c>
      <c r="T56" s="173">
        <v>109.9</v>
      </c>
      <c r="U56" s="172">
        <v>115.7</v>
      </c>
      <c r="V56" s="174">
        <v>121.5</v>
      </c>
      <c r="W56" s="173">
        <v>127.3</v>
      </c>
      <c r="X56" s="173">
        <v>133.1</v>
      </c>
      <c r="Y56" s="173">
        <v>138.9</v>
      </c>
      <c r="Z56" s="173">
        <v>144.6</v>
      </c>
      <c r="AA56" s="173">
        <v>150.4</v>
      </c>
      <c r="AB56" s="173">
        <v>156.19999999999999</v>
      </c>
      <c r="AC56" s="173">
        <v>162</v>
      </c>
      <c r="AD56" s="173">
        <v>167.8</v>
      </c>
      <c r="AE56" s="172">
        <v>173.6</v>
      </c>
      <c r="AF56" s="174">
        <v>179.4</v>
      </c>
      <c r="AG56" s="173">
        <v>185.1</v>
      </c>
      <c r="AH56" s="173">
        <v>190.9</v>
      </c>
      <c r="AI56" s="173">
        <v>196.7</v>
      </c>
      <c r="AJ56" s="179">
        <v>202.5</v>
      </c>
      <c r="AK56" s="178">
        <v>208.3</v>
      </c>
    </row>
    <row r="57" spans="1:37" x14ac:dyDescent="0.2">
      <c r="A57" s="180">
        <v>18</v>
      </c>
      <c r="B57" s="174">
        <v>6.81</v>
      </c>
      <c r="C57" s="173">
        <v>12.25</v>
      </c>
      <c r="D57" s="173">
        <v>18.600000000000001</v>
      </c>
      <c r="E57" s="173">
        <v>24.5</v>
      </c>
      <c r="F57" s="173">
        <v>30.86</v>
      </c>
      <c r="G57" s="173">
        <v>36.76</v>
      </c>
      <c r="H57" s="173">
        <v>43.11</v>
      </c>
      <c r="I57" s="173">
        <v>49.01</v>
      </c>
      <c r="J57" s="173">
        <v>55.13</v>
      </c>
      <c r="K57" s="172">
        <v>61.26</v>
      </c>
      <c r="L57" s="174">
        <v>67.39</v>
      </c>
      <c r="M57" s="173">
        <v>73.510000000000005</v>
      </c>
      <c r="N57" s="173">
        <v>79.64</v>
      </c>
      <c r="O57" s="173">
        <v>85.76</v>
      </c>
      <c r="P57" s="173">
        <v>91.89</v>
      </c>
      <c r="Q57" s="173">
        <v>98.02</v>
      </c>
      <c r="R57" s="173">
        <v>104.1</v>
      </c>
      <c r="S57" s="173">
        <v>110.3</v>
      </c>
      <c r="T57" s="173">
        <v>116.4</v>
      </c>
      <c r="U57" s="172">
        <v>122.5</v>
      </c>
      <c r="V57" s="174">
        <v>128.6</v>
      </c>
      <c r="W57" s="173">
        <v>134.80000000000001</v>
      </c>
      <c r="X57" s="173">
        <v>140.9</v>
      </c>
      <c r="Y57" s="173">
        <v>147</v>
      </c>
      <c r="Z57" s="173">
        <v>153.19999999999999</v>
      </c>
      <c r="AA57" s="173">
        <v>159.30000000000001</v>
      </c>
      <c r="AB57" s="173">
        <v>165.4</v>
      </c>
      <c r="AC57" s="173">
        <v>171.5</v>
      </c>
      <c r="AD57" s="173">
        <v>177.7</v>
      </c>
      <c r="AE57" s="172">
        <v>183.8</v>
      </c>
      <c r="AF57" s="174">
        <v>189.9</v>
      </c>
      <c r="AG57" s="173">
        <v>196</v>
      </c>
      <c r="AH57" s="173">
        <v>202.2</v>
      </c>
      <c r="AI57" s="173">
        <v>208.3</v>
      </c>
      <c r="AJ57" s="179">
        <v>214.4</v>
      </c>
      <c r="AK57" s="178">
        <v>220.5</v>
      </c>
    </row>
    <row r="58" spans="1:37" x14ac:dyDescent="0.2">
      <c r="A58" s="180">
        <v>19</v>
      </c>
      <c r="B58" s="174">
        <v>6.81</v>
      </c>
      <c r="C58" s="173">
        <v>13.16</v>
      </c>
      <c r="D58" s="173">
        <v>19.510000000000002</v>
      </c>
      <c r="E58" s="173">
        <v>25.87</v>
      </c>
      <c r="F58" s="173">
        <v>32.67</v>
      </c>
      <c r="G58" s="173">
        <v>39.03</v>
      </c>
      <c r="H58" s="173">
        <v>45.38</v>
      </c>
      <c r="I58" s="173">
        <v>51.73</v>
      </c>
      <c r="J58" s="173">
        <v>58.2</v>
      </c>
      <c r="K58" s="172">
        <v>64.66</v>
      </c>
      <c r="L58" s="174">
        <v>71.13</v>
      </c>
      <c r="M58" s="173">
        <v>77.599999999999994</v>
      </c>
      <c r="N58" s="173">
        <v>84.06</v>
      </c>
      <c r="O58" s="173">
        <v>90.53</v>
      </c>
      <c r="P58" s="173">
        <v>97</v>
      </c>
      <c r="Q58" s="173">
        <v>103.5</v>
      </c>
      <c r="R58" s="173">
        <v>109.9</v>
      </c>
      <c r="S58" s="173">
        <v>116.4</v>
      </c>
      <c r="T58" s="173">
        <v>122.9</v>
      </c>
      <c r="U58" s="172">
        <v>129.30000000000001</v>
      </c>
      <c r="V58" s="174">
        <v>135.80000000000001</v>
      </c>
      <c r="W58" s="173">
        <v>142.30000000000001</v>
      </c>
      <c r="X58" s="173">
        <v>148.69999999999999</v>
      </c>
      <c r="Y58" s="173">
        <v>155.19999999999999</v>
      </c>
      <c r="Z58" s="173">
        <v>161.69999999999999</v>
      </c>
      <c r="AA58" s="173">
        <v>168.1</v>
      </c>
      <c r="AB58" s="173">
        <v>174.6</v>
      </c>
      <c r="AC58" s="173">
        <v>181.1</v>
      </c>
      <c r="AD58" s="173">
        <v>187.5</v>
      </c>
      <c r="AE58" s="172">
        <v>194</v>
      </c>
      <c r="AF58" s="174">
        <v>200.5</v>
      </c>
      <c r="AG58" s="173">
        <v>206.9</v>
      </c>
      <c r="AH58" s="173">
        <v>213.4</v>
      </c>
      <c r="AI58" s="173">
        <v>219.9</v>
      </c>
      <c r="AJ58" s="179">
        <v>226.3</v>
      </c>
      <c r="AK58" s="178">
        <v>232.8</v>
      </c>
    </row>
    <row r="59" spans="1:37" x14ac:dyDescent="0.2">
      <c r="A59" s="180">
        <v>20</v>
      </c>
      <c r="B59" s="170">
        <v>6.81</v>
      </c>
      <c r="C59" s="169">
        <v>13.61</v>
      </c>
      <c r="D59" s="169">
        <v>20.420000000000002</v>
      </c>
      <c r="E59" s="169">
        <v>27.23</v>
      </c>
      <c r="F59" s="169">
        <v>34.03</v>
      </c>
      <c r="G59" s="169">
        <v>40.840000000000003</v>
      </c>
      <c r="H59" s="169">
        <v>47.65</v>
      </c>
      <c r="I59" s="169">
        <v>54.45</v>
      </c>
      <c r="J59" s="169">
        <v>61.26</v>
      </c>
      <c r="K59" s="168">
        <v>68.069999999999993</v>
      </c>
      <c r="L59" s="170">
        <v>74.87</v>
      </c>
      <c r="M59" s="169">
        <v>81.680000000000007</v>
      </c>
      <c r="N59" s="169">
        <v>88.49</v>
      </c>
      <c r="O59" s="169">
        <v>95.29</v>
      </c>
      <c r="P59" s="169">
        <v>102.1</v>
      </c>
      <c r="Q59" s="169">
        <v>108.9</v>
      </c>
      <c r="R59" s="169">
        <v>115.7</v>
      </c>
      <c r="S59" s="169">
        <v>122.5</v>
      </c>
      <c r="T59" s="169">
        <v>129.30000000000001</v>
      </c>
      <c r="U59" s="168">
        <v>136.1</v>
      </c>
      <c r="V59" s="170">
        <v>142.9</v>
      </c>
      <c r="W59" s="169">
        <v>149.69999999999999</v>
      </c>
      <c r="X59" s="169">
        <v>156.6</v>
      </c>
      <c r="Y59" s="169">
        <v>163.4</v>
      </c>
      <c r="Z59" s="169">
        <v>170.2</v>
      </c>
      <c r="AA59" s="169">
        <v>177</v>
      </c>
      <c r="AB59" s="169">
        <v>183.8</v>
      </c>
      <c r="AC59" s="169">
        <v>190.6</v>
      </c>
      <c r="AD59" s="169">
        <v>197.4</v>
      </c>
      <c r="AE59" s="168">
        <v>204.2</v>
      </c>
      <c r="AF59" s="170">
        <v>211</v>
      </c>
      <c r="AG59" s="169">
        <v>217.8</v>
      </c>
      <c r="AH59" s="169">
        <v>224.6</v>
      </c>
      <c r="AI59" s="169">
        <v>231.4</v>
      </c>
      <c r="AJ59" s="184">
        <v>238.2</v>
      </c>
      <c r="AK59" s="183">
        <v>245</v>
      </c>
    </row>
    <row r="60" spans="1:37" x14ac:dyDescent="0.2">
      <c r="A60" s="180">
        <v>21</v>
      </c>
      <c r="B60" s="177">
        <v>7.26</v>
      </c>
      <c r="C60" s="176">
        <v>14.52</v>
      </c>
      <c r="D60" s="176">
        <v>21.33</v>
      </c>
      <c r="E60" s="176">
        <v>28.59</v>
      </c>
      <c r="F60" s="176">
        <v>35.85</v>
      </c>
      <c r="G60" s="176">
        <v>43.11</v>
      </c>
      <c r="H60" s="176">
        <v>50.03</v>
      </c>
      <c r="I60" s="176">
        <v>57.18</v>
      </c>
      <c r="J60" s="176">
        <v>64.319999999999993</v>
      </c>
      <c r="K60" s="175">
        <v>71.47</v>
      </c>
      <c r="L60" s="177">
        <v>78.62</v>
      </c>
      <c r="M60" s="176">
        <v>85.76</v>
      </c>
      <c r="N60" s="176">
        <v>92.91</v>
      </c>
      <c r="O60" s="176">
        <v>100.1</v>
      </c>
      <c r="P60" s="176">
        <v>107.2</v>
      </c>
      <c r="Q60" s="176">
        <v>114.4</v>
      </c>
      <c r="R60" s="176">
        <v>121.5</v>
      </c>
      <c r="S60" s="176">
        <v>128.6</v>
      </c>
      <c r="T60" s="176">
        <v>135.80000000000001</v>
      </c>
      <c r="U60" s="175">
        <v>142.9</v>
      </c>
      <c r="V60" s="177">
        <v>150.1</v>
      </c>
      <c r="W60" s="176">
        <v>157.19999999999999</v>
      </c>
      <c r="X60" s="176">
        <v>164.4</v>
      </c>
      <c r="Y60" s="176">
        <v>171.5</v>
      </c>
      <c r="Z60" s="176">
        <v>178.7</v>
      </c>
      <c r="AA60" s="176">
        <v>185.8</v>
      </c>
      <c r="AB60" s="176">
        <v>193</v>
      </c>
      <c r="AC60" s="176">
        <v>200.1</v>
      </c>
      <c r="AD60" s="176">
        <v>207.3</v>
      </c>
      <c r="AE60" s="175">
        <v>214.4</v>
      </c>
      <c r="AF60" s="177">
        <v>221.6</v>
      </c>
      <c r="AG60" s="176">
        <v>228.7</v>
      </c>
      <c r="AH60" s="176">
        <v>235.9</v>
      </c>
      <c r="AI60" s="176">
        <v>243</v>
      </c>
      <c r="AJ60" s="182">
        <v>250.1</v>
      </c>
      <c r="AK60" s="181">
        <v>257.3</v>
      </c>
    </row>
    <row r="61" spans="1:37" x14ac:dyDescent="0.2">
      <c r="A61" s="180">
        <v>22</v>
      </c>
      <c r="B61" s="174">
        <v>7.71</v>
      </c>
      <c r="C61" s="173">
        <v>14.97</v>
      </c>
      <c r="D61" s="173">
        <v>22.69</v>
      </c>
      <c r="E61" s="173">
        <v>29.95</v>
      </c>
      <c r="F61" s="173">
        <v>37.659999999999997</v>
      </c>
      <c r="G61" s="173">
        <v>44.92</v>
      </c>
      <c r="H61" s="173">
        <v>52.41</v>
      </c>
      <c r="I61" s="173">
        <v>59.9</v>
      </c>
      <c r="J61" s="173">
        <v>67.39</v>
      </c>
      <c r="K61" s="172">
        <v>74.87</v>
      </c>
      <c r="L61" s="174">
        <v>82.36</v>
      </c>
      <c r="M61" s="173">
        <v>89.85</v>
      </c>
      <c r="N61" s="173">
        <v>97.34</v>
      </c>
      <c r="O61" s="173">
        <v>104.8</v>
      </c>
      <c r="P61" s="173">
        <v>112.3</v>
      </c>
      <c r="Q61" s="173">
        <v>119.8</v>
      </c>
      <c r="R61" s="173">
        <v>127.3</v>
      </c>
      <c r="S61" s="173">
        <v>134.80000000000001</v>
      </c>
      <c r="T61" s="173">
        <v>142.30000000000001</v>
      </c>
      <c r="U61" s="172">
        <v>149.69999999999999</v>
      </c>
      <c r="V61" s="174">
        <v>157.19999999999999</v>
      </c>
      <c r="W61" s="173">
        <v>164.7</v>
      </c>
      <c r="X61" s="173">
        <v>172.2</v>
      </c>
      <c r="Y61" s="173">
        <v>179.7</v>
      </c>
      <c r="Z61" s="173">
        <v>187.2</v>
      </c>
      <c r="AA61" s="173">
        <v>194.7</v>
      </c>
      <c r="AB61" s="173">
        <v>202.2</v>
      </c>
      <c r="AC61" s="173">
        <v>209.6</v>
      </c>
      <c r="AD61" s="173">
        <v>217.1</v>
      </c>
      <c r="AE61" s="172">
        <v>224.6</v>
      </c>
      <c r="AF61" s="174">
        <v>232.1</v>
      </c>
      <c r="AG61" s="173">
        <v>239.6</v>
      </c>
      <c r="AH61" s="173">
        <v>247.1</v>
      </c>
      <c r="AI61" s="173">
        <v>254.6</v>
      </c>
      <c r="AJ61" s="179">
        <v>262.10000000000002</v>
      </c>
      <c r="AK61" s="178">
        <v>269.5</v>
      </c>
    </row>
    <row r="62" spans="1:37" x14ac:dyDescent="0.2">
      <c r="A62" s="180">
        <v>23</v>
      </c>
      <c r="B62" s="174">
        <v>7.71</v>
      </c>
      <c r="C62" s="173">
        <v>15.88</v>
      </c>
      <c r="D62" s="173">
        <v>23.6</v>
      </c>
      <c r="E62" s="173">
        <v>31.31</v>
      </c>
      <c r="F62" s="173">
        <v>39.03</v>
      </c>
      <c r="G62" s="173">
        <v>46.97</v>
      </c>
      <c r="H62" s="173">
        <v>54.79</v>
      </c>
      <c r="I62" s="173">
        <v>62.62</v>
      </c>
      <c r="J62" s="173">
        <v>70.45</v>
      </c>
      <c r="K62" s="172">
        <v>78.28</v>
      </c>
      <c r="L62" s="174">
        <v>86.1</v>
      </c>
      <c r="M62" s="173">
        <v>93.93</v>
      </c>
      <c r="N62" s="173">
        <v>101.8</v>
      </c>
      <c r="O62" s="173">
        <v>109.6</v>
      </c>
      <c r="P62" s="173">
        <v>117.4</v>
      </c>
      <c r="Q62" s="173">
        <v>125.2</v>
      </c>
      <c r="R62" s="173">
        <v>133.1</v>
      </c>
      <c r="S62" s="173">
        <v>140.9</v>
      </c>
      <c r="T62" s="173">
        <v>148.69999999999999</v>
      </c>
      <c r="U62" s="172">
        <v>156.6</v>
      </c>
      <c r="V62" s="174">
        <v>164.4</v>
      </c>
      <c r="W62" s="173">
        <v>172.2</v>
      </c>
      <c r="X62" s="173">
        <v>180</v>
      </c>
      <c r="Y62" s="173">
        <v>187.9</v>
      </c>
      <c r="Z62" s="173">
        <v>195.7</v>
      </c>
      <c r="AA62" s="173">
        <v>203.5</v>
      </c>
      <c r="AB62" s="173">
        <v>211.3</v>
      </c>
      <c r="AC62" s="173">
        <v>219.2</v>
      </c>
      <c r="AD62" s="173">
        <v>227</v>
      </c>
      <c r="AE62" s="172">
        <v>234.8</v>
      </c>
      <c r="AF62" s="174">
        <v>242.7</v>
      </c>
      <c r="AG62" s="173">
        <v>250.5</v>
      </c>
      <c r="AH62" s="173">
        <v>258.3</v>
      </c>
      <c r="AI62" s="173">
        <v>266.10000000000002</v>
      </c>
      <c r="AJ62" s="179">
        <v>274</v>
      </c>
      <c r="AK62" s="178">
        <v>281.8</v>
      </c>
    </row>
    <row r="63" spans="1:37" x14ac:dyDescent="0.2">
      <c r="A63" s="180">
        <v>24</v>
      </c>
      <c r="B63" s="174">
        <v>8.17</v>
      </c>
      <c r="C63" s="173">
        <v>16.34</v>
      </c>
      <c r="D63" s="173">
        <v>24.5</v>
      </c>
      <c r="E63" s="173">
        <v>32.67</v>
      </c>
      <c r="F63" s="173">
        <v>40.840000000000003</v>
      </c>
      <c r="G63" s="173">
        <v>49.01</v>
      </c>
      <c r="H63" s="173">
        <v>57.18</v>
      </c>
      <c r="I63" s="173">
        <v>65.34</v>
      </c>
      <c r="J63" s="173">
        <v>73.510000000000005</v>
      </c>
      <c r="K63" s="172">
        <v>81.680000000000007</v>
      </c>
      <c r="L63" s="174">
        <v>89.85</v>
      </c>
      <c r="M63" s="173">
        <v>98.02</v>
      </c>
      <c r="N63" s="173">
        <v>106.2</v>
      </c>
      <c r="O63" s="173">
        <v>114.4</v>
      </c>
      <c r="P63" s="173">
        <v>122.5</v>
      </c>
      <c r="Q63" s="173">
        <v>130.69999999999999</v>
      </c>
      <c r="R63" s="173">
        <v>138.9</v>
      </c>
      <c r="S63" s="173">
        <v>147</v>
      </c>
      <c r="T63" s="173">
        <v>155.19999999999999</v>
      </c>
      <c r="U63" s="172">
        <v>163.4</v>
      </c>
      <c r="V63" s="174">
        <v>171.5</v>
      </c>
      <c r="W63" s="173">
        <v>179.7</v>
      </c>
      <c r="X63" s="173">
        <v>187.9</v>
      </c>
      <c r="Y63" s="173">
        <v>196</v>
      </c>
      <c r="Z63" s="173">
        <v>204.2</v>
      </c>
      <c r="AA63" s="173">
        <v>212.4</v>
      </c>
      <c r="AB63" s="173">
        <v>220.5</v>
      </c>
      <c r="AC63" s="173">
        <v>228.7</v>
      </c>
      <c r="AD63" s="173">
        <v>236.9</v>
      </c>
      <c r="AE63" s="172">
        <v>245</v>
      </c>
      <c r="AF63" s="174">
        <v>253.2</v>
      </c>
      <c r="AG63" s="173">
        <v>261.39999999999998</v>
      </c>
      <c r="AH63" s="173">
        <v>269.5</v>
      </c>
      <c r="AI63" s="173">
        <v>277.7</v>
      </c>
      <c r="AJ63" s="179">
        <v>285.89999999999998</v>
      </c>
      <c r="AK63" s="178">
        <v>294</v>
      </c>
    </row>
    <row r="64" spans="1:37" x14ac:dyDescent="0.2">
      <c r="A64" s="171">
        <v>25</v>
      </c>
      <c r="B64" s="170">
        <v>8.6199999999999992</v>
      </c>
      <c r="C64" s="169">
        <v>17.239999999999998</v>
      </c>
      <c r="D64" s="169">
        <v>25.41</v>
      </c>
      <c r="E64" s="169">
        <v>34.03</v>
      </c>
      <c r="F64" s="169">
        <v>42.66</v>
      </c>
      <c r="G64" s="169">
        <v>51.05</v>
      </c>
      <c r="H64" s="169">
        <v>59.56</v>
      </c>
      <c r="I64" s="169">
        <v>68.069999999999993</v>
      </c>
      <c r="J64" s="169">
        <v>76.58</v>
      </c>
      <c r="K64" s="168">
        <v>85.08</v>
      </c>
      <c r="L64" s="170">
        <v>93.59</v>
      </c>
      <c r="M64" s="169">
        <v>102.1</v>
      </c>
      <c r="N64" s="169">
        <v>110.6</v>
      </c>
      <c r="O64" s="169">
        <v>119.1</v>
      </c>
      <c r="P64" s="169">
        <v>127.6</v>
      </c>
      <c r="Q64" s="169">
        <v>136.1</v>
      </c>
      <c r="R64" s="169">
        <v>144.6</v>
      </c>
      <c r="S64" s="169">
        <v>153.19999999999999</v>
      </c>
      <c r="T64" s="169">
        <v>161.69999999999999</v>
      </c>
      <c r="U64" s="168">
        <v>170.2</v>
      </c>
      <c r="V64" s="170">
        <v>178.7</v>
      </c>
      <c r="W64" s="169">
        <v>187.2</v>
      </c>
      <c r="X64" s="169">
        <v>195.7</v>
      </c>
      <c r="Y64" s="169">
        <v>204.2</v>
      </c>
      <c r="Z64" s="169">
        <v>212.7</v>
      </c>
      <c r="AA64" s="169">
        <v>221.2</v>
      </c>
      <c r="AB64" s="169">
        <v>229.7</v>
      </c>
      <c r="AC64" s="169">
        <v>238.2</v>
      </c>
      <c r="AD64" s="169">
        <v>246.7</v>
      </c>
      <c r="AE64" s="168">
        <v>255.3</v>
      </c>
      <c r="AF64" s="170">
        <v>263.8</v>
      </c>
      <c r="AG64" s="169">
        <v>272.3</v>
      </c>
      <c r="AH64" s="169">
        <v>280.8</v>
      </c>
      <c r="AI64" s="169">
        <v>289.3</v>
      </c>
      <c r="AJ64" s="169">
        <v>297.8</v>
      </c>
      <c r="AK64" s="168">
        <v>306.3</v>
      </c>
    </row>
    <row r="65" spans="1:49" x14ac:dyDescent="0.2">
      <c r="A65" s="171">
        <v>26</v>
      </c>
      <c r="B65" s="177">
        <v>9.08</v>
      </c>
      <c r="C65" s="176">
        <v>17.7</v>
      </c>
      <c r="D65" s="176">
        <v>26.77</v>
      </c>
      <c r="E65" s="176">
        <v>35.39</v>
      </c>
      <c r="F65" s="176">
        <v>44.47</v>
      </c>
      <c r="G65" s="176">
        <v>53.09</v>
      </c>
      <c r="H65" s="176">
        <v>61.94</v>
      </c>
      <c r="I65" s="176">
        <v>70.790000000000006</v>
      </c>
      <c r="J65" s="176">
        <v>79.64</v>
      </c>
      <c r="K65" s="175">
        <v>88.49</v>
      </c>
      <c r="L65" s="177">
        <v>97.34</v>
      </c>
      <c r="M65" s="176">
        <v>106.2</v>
      </c>
      <c r="N65" s="176">
        <v>115</v>
      </c>
      <c r="O65" s="176">
        <v>123.9</v>
      </c>
      <c r="P65" s="176">
        <v>132.69999999999999</v>
      </c>
      <c r="Q65" s="176">
        <v>141.6</v>
      </c>
      <c r="R65" s="176">
        <v>150.4</v>
      </c>
      <c r="S65" s="176">
        <v>159.30000000000001</v>
      </c>
      <c r="T65" s="176">
        <v>168.1</v>
      </c>
      <c r="U65" s="175">
        <v>177</v>
      </c>
      <c r="V65" s="177">
        <v>185.8</v>
      </c>
      <c r="W65" s="176">
        <v>194.7</v>
      </c>
      <c r="X65" s="176">
        <v>203.5</v>
      </c>
      <c r="Y65" s="176">
        <v>212.4</v>
      </c>
      <c r="Z65" s="176">
        <v>221.2</v>
      </c>
      <c r="AA65" s="176">
        <v>230.1</v>
      </c>
      <c r="AB65" s="176">
        <v>238.9</v>
      </c>
      <c r="AC65" s="176">
        <v>247.8</v>
      </c>
      <c r="AD65" s="176">
        <v>256.60000000000002</v>
      </c>
      <c r="AE65" s="175">
        <v>265.5</v>
      </c>
      <c r="AF65" s="177">
        <v>274.3</v>
      </c>
      <c r="AG65" s="176">
        <v>283.2</v>
      </c>
      <c r="AH65" s="176">
        <v>292</v>
      </c>
      <c r="AI65" s="176">
        <v>300.89999999999998</v>
      </c>
      <c r="AJ65" s="176">
        <v>309.7</v>
      </c>
      <c r="AK65" s="175">
        <v>318.60000000000002</v>
      </c>
    </row>
    <row r="66" spans="1:49" x14ac:dyDescent="0.2">
      <c r="A66" s="171">
        <v>27</v>
      </c>
      <c r="B66" s="174">
        <v>9.08</v>
      </c>
      <c r="C66" s="173">
        <v>18.600000000000001</v>
      </c>
      <c r="D66" s="173">
        <v>27.68</v>
      </c>
      <c r="E66" s="173">
        <v>36.76</v>
      </c>
      <c r="F66" s="173">
        <v>45.83</v>
      </c>
      <c r="G66" s="173">
        <v>55.13</v>
      </c>
      <c r="H66" s="173">
        <v>64.319999999999993</v>
      </c>
      <c r="I66" s="173">
        <v>73.510000000000005</v>
      </c>
      <c r="J66" s="173">
        <v>82.7</v>
      </c>
      <c r="K66" s="172">
        <v>91.89</v>
      </c>
      <c r="L66" s="174">
        <v>101.1</v>
      </c>
      <c r="M66" s="173">
        <v>110.3</v>
      </c>
      <c r="N66" s="173">
        <v>119.5</v>
      </c>
      <c r="O66" s="173">
        <v>128.6</v>
      </c>
      <c r="P66" s="173">
        <v>137.80000000000001</v>
      </c>
      <c r="Q66" s="173">
        <v>147</v>
      </c>
      <c r="R66" s="173">
        <v>156.19999999999999</v>
      </c>
      <c r="S66" s="173">
        <v>165.4</v>
      </c>
      <c r="T66" s="173">
        <v>174.6</v>
      </c>
      <c r="U66" s="172">
        <v>183.8</v>
      </c>
      <c r="V66" s="174">
        <v>193</v>
      </c>
      <c r="W66" s="173">
        <v>202.2</v>
      </c>
      <c r="X66" s="173">
        <v>211.3</v>
      </c>
      <c r="Y66" s="173">
        <v>220.5</v>
      </c>
      <c r="Z66" s="173">
        <v>229.7</v>
      </c>
      <c r="AA66" s="173">
        <v>238.9</v>
      </c>
      <c r="AB66" s="173">
        <v>248.1</v>
      </c>
      <c r="AC66" s="173">
        <v>257.3</v>
      </c>
      <c r="AD66" s="173">
        <v>266.5</v>
      </c>
      <c r="AE66" s="172">
        <v>275.7</v>
      </c>
      <c r="AF66" s="174">
        <v>284.89999999999998</v>
      </c>
      <c r="AG66" s="173">
        <v>294</v>
      </c>
      <c r="AH66" s="173">
        <v>303.2</v>
      </c>
      <c r="AI66" s="173">
        <v>312.39999999999998</v>
      </c>
      <c r="AJ66" s="173">
        <v>321.60000000000002</v>
      </c>
      <c r="AK66" s="172">
        <v>330.8</v>
      </c>
    </row>
    <row r="67" spans="1:49" x14ac:dyDescent="0.2">
      <c r="A67" s="171">
        <v>28</v>
      </c>
      <c r="B67" s="174">
        <v>9.5299999999999994</v>
      </c>
      <c r="C67" s="173">
        <v>19.059999999999999</v>
      </c>
      <c r="D67" s="173">
        <v>28.59</v>
      </c>
      <c r="E67" s="173">
        <v>38.119999999999997</v>
      </c>
      <c r="F67" s="173">
        <v>47.65</v>
      </c>
      <c r="G67" s="173">
        <v>57.18</v>
      </c>
      <c r="H67" s="173">
        <v>66.709999999999994</v>
      </c>
      <c r="I67" s="173">
        <v>76.239999999999995</v>
      </c>
      <c r="J67" s="173">
        <v>85.76</v>
      </c>
      <c r="K67" s="172">
        <v>95.29</v>
      </c>
      <c r="L67" s="174">
        <v>104.8</v>
      </c>
      <c r="M67" s="173">
        <v>114.4</v>
      </c>
      <c r="N67" s="173">
        <v>123.9</v>
      </c>
      <c r="O67" s="173">
        <v>133.4</v>
      </c>
      <c r="P67" s="173">
        <v>142.9</v>
      </c>
      <c r="Q67" s="173">
        <v>152.5</v>
      </c>
      <c r="R67" s="173">
        <v>162</v>
      </c>
      <c r="S67" s="173">
        <v>171.5</v>
      </c>
      <c r="T67" s="173">
        <v>181.1</v>
      </c>
      <c r="U67" s="172">
        <v>190.6</v>
      </c>
      <c r="V67" s="174">
        <v>200.1</v>
      </c>
      <c r="W67" s="173">
        <v>209.6</v>
      </c>
      <c r="X67" s="173">
        <v>219.2</v>
      </c>
      <c r="Y67" s="173">
        <v>228.7</v>
      </c>
      <c r="Z67" s="173">
        <v>238.2</v>
      </c>
      <c r="AA67" s="173">
        <v>247.8</v>
      </c>
      <c r="AB67" s="173">
        <v>257.3</v>
      </c>
      <c r="AC67" s="173">
        <v>266.8</v>
      </c>
      <c r="AD67" s="173">
        <v>276.39999999999998</v>
      </c>
      <c r="AE67" s="172">
        <v>285.89999999999998</v>
      </c>
      <c r="AF67" s="174">
        <v>295.39999999999998</v>
      </c>
      <c r="AG67" s="173">
        <v>304.89999999999998</v>
      </c>
      <c r="AH67" s="173">
        <v>314.5</v>
      </c>
      <c r="AI67" s="173">
        <v>324</v>
      </c>
      <c r="AJ67" s="173">
        <v>333.5</v>
      </c>
      <c r="AK67" s="172">
        <v>343.1</v>
      </c>
    </row>
    <row r="68" spans="1:49" x14ac:dyDescent="0.2">
      <c r="A68" s="171">
        <v>29</v>
      </c>
      <c r="B68" s="174">
        <v>9.98</v>
      </c>
      <c r="C68" s="173">
        <v>19.97</v>
      </c>
      <c r="D68" s="173">
        <v>29.5</v>
      </c>
      <c r="E68" s="173">
        <v>39.479999999999997</v>
      </c>
      <c r="F68" s="173">
        <v>49.46</v>
      </c>
      <c r="G68" s="173">
        <v>59.22</v>
      </c>
      <c r="H68" s="173">
        <v>69.09</v>
      </c>
      <c r="I68" s="173">
        <v>78.959999999999994</v>
      </c>
      <c r="J68" s="173">
        <v>88.83</v>
      </c>
      <c r="K68" s="172">
        <v>98.7</v>
      </c>
      <c r="L68" s="174">
        <v>108.6</v>
      </c>
      <c r="M68" s="173">
        <v>118.4</v>
      </c>
      <c r="N68" s="173">
        <v>128.30000000000001</v>
      </c>
      <c r="O68" s="173">
        <v>138.19999999999999</v>
      </c>
      <c r="P68" s="173">
        <v>148</v>
      </c>
      <c r="Q68" s="173">
        <v>157.9</v>
      </c>
      <c r="R68" s="173">
        <v>167.8</v>
      </c>
      <c r="S68" s="173">
        <v>177.7</v>
      </c>
      <c r="T68" s="173">
        <v>187.5</v>
      </c>
      <c r="U68" s="172">
        <v>197.4</v>
      </c>
      <c r="V68" s="174">
        <v>207.3</v>
      </c>
      <c r="W68" s="173">
        <v>217.1</v>
      </c>
      <c r="X68" s="173">
        <v>227</v>
      </c>
      <c r="Y68" s="173">
        <v>236.9</v>
      </c>
      <c r="Z68" s="173">
        <v>246.7</v>
      </c>
      <c r="AA68" s="173">
        <v>256.60000000000002</v>
      </c>
      <c r="AB68" s="173">
        <v>266.5</v>
      </c>
      <c r="AC68" s="173">
        <v>276.39999999999998</v>
      </c>
      <c r="AD68" s="173">
        <v>286.2</v>
      </c>
      <c r="AE68" s="172">
        <v>296.10000000000002</v>
      </c>
      <c r="AF68" s="174">
        <v>306</v>
      </c>
      <c r="AG68" s="173">
        <v>315.8</v>
      </c>
      <c r="AH68" s="173">
        <v>325.7</v>
      </c>
      <c r="AI68" s="173">
        <v>335.6</v>
      </c>
      <c r="AJ68" s="173">
        <v>345.4</v>
      </c>
      <c r="AK68" s="172">
        <v>355.3</v>
      </c>
    </row>
    <row r="69" spans="1:49" x14ac:dyDescent="0.2">
      <c r="A69" s="171">
        <v>30</v>
      </c>
      <c r="B69" s="170">
        <v>10.44</v>
      </c>
      <c r="C69" s="169">
        <v>20.420000000000002</v>
      </c>
      <c r="D69" s="169">
        <v>30.86</v>
      </c>
      <c r="E69" s="169">
        <v>40.840000000000003</v>
      </c>
      <c r="F69" s="169">
        <v>51.28</v>
      </c>
      <c r="G69" s="169">
        <v>61.26</v>
      </c>
      <c r="H69" s="169">
        <v>71.47</v>
      </c>
      <c r="I69" s="169">
        <v>81.680000000000007</v>
      </c>
      <c r="J69" s="169">
        <v>91.89</v>
      </c>
      <c r="K69" s="168">
        <v>102.1</v>
      </c>
      <c r="L69" s="170">
        <v>112.3</v>
      </c>
      <c r="M69" s="169">
        <v>122.5</v>
      </c>
      <c r="N69" s="169">
        <v>132.69999999999999</v>
      </c>
      <c r="O69" s="169">
        <v>142.9</v>
      </c>
      <c r="P69" s="169">
        <v>153.19999999999999</v>
      </c>
      <c r="Q69" s="169">
        <v>163.4</v>
      </c>
      <c r="R69" s="169">
        <v>173.6</v>
      </c>
      <c r="S69" s="169">
        <v>183.8</v>
      </c>
      <c r="T69" s="169">
        <v>194</v>
      </c>
      <c r="U69" s="168">
        <v>204.2</v>
      </c>
      <c r="V69" s="170">
        <v>214.4</v>
      </c>
      <c r="W69" s="169">
        <v>224.6</v>
      </c>
      <c r="X69" s="169">
        <v>234.8</v>
      </c>
      <c r="Y69" s="169">
        <v>245</v>
      </c>
      <c r="Z69" s="169">
        <v>255.3</v>
      </c>
      <c r="AA69" s="169">
        <v>265.5</v>
      </c>
      <c r="AB69" s="169">
        <v>275.7</v>
      </c>
      <c r="AC69" s="169">
        <v>285.89999999999998</v>
      </c>
      <c r="AD69" s="169">
        <v>296.10000000000002</v>
      </c>
      <c r="AE69" s="168">
        <v>306.3</v>
      </c>
      <c r="AF69" s="170">
        <v>316.5</v>
      </c>
      <c r="AG69" s="169">
        <v>326.7</v>
      </c>
      <c r="AH69" s="169">
        <v>336.9</v>
      </c>
      <c r="AI69" s="169">
        <v>347.1</v>
      </c>
      <c r="AJ69" s="169">
        <v>357.4</v>
      </c>
      <c r="AK69" s="168">
        <v>367.6</v>
      </c>
    </row>
    <row r="70" spans="1:49" x14ac:dyDescent="0.2"/>
    <row r="71" spans="1:49" hidden="1" x14ac:dyDescent="0.2">
      <c r="AA71" s="206"/>
      <c r="AB71" s="207"/>
      <c r="AC71" s="206"/>
      <c r="AD71" s="207"/>
      <c r="AE71" s="207"/>
      <c r="AF71" s="207"/>
      <c r="AG71" s="207"/>
      <c r="AH71" s="207"/>
      <c r="AI71" s="207"/>
      <c r="AJ71" s="207"/>
    </row>
    <row r="72" spans="1:49" ht="14.25" hidden="1" x14ac:dyDescent="0.2">
      <c r="AM72" s="167"/>
      <c r="AN72" s="158"/>
      <c r="AO72" s="158"/>
      <c r="AP72" s="158"/>
      <c r="AQ72" s="158"/>
      <c r="AR72" s="158"/>
      <c r="AS72" s="158"/>
      <c r="AT72" s="158"/>
      <c r="AU72" s="158"/>
      <c r="AV72" s="158"/>
      <c r="AW72" s="158"/>
    </row>
    <row r="73" spans="1:49" ht="15" hidden="1" x14ac:dyDescent="0.25">
      <c r="AA73" s="208"/>
      <c r="AM73" s="167"/>
      <c r="AN73" s="158"/>
      <c r="AO73" s="158"/>
      <c r="AP73" s="158"/>
      <c r="AQ73" s="158"/>
      <c r="AR73" s="158"/>
      <c r="AS73" s="158"/>
      <c r="AT73" s="158"/>
      <c r="AU73" s="158"/>
      <c r="AV73" s="158"/>
      <c r="AW73" s="158"/>
    </row>
    <row r="74" spans="1:49" ht="14.25" hidden="1" x14ac:dyDescent="0.2">
      <c r="AM74" s="158"/>
      <c r="AN74" s="158"/>
      <c r="AO74" s="158"/>
      <c r="AP74" s="158"/>
      <c r="AQ74" s="158"/>
      <c r="AR74" s="158"/>
      <c r="AS74" s="158"/>
      <c r="AT74" s="158"/>
      <c r="AU74" s="158"/>
      <c r="AV74" s="158"/>
      <c r="AW74" s="158"/>
    </row>
    <row r="75" spans="1:49" ht="14.25" hidden="1" x14ac:dyDescent="0.2">
      <c r="P75" s="209"/>
      <c r="Q75" s="209"/>
      <c r="R75" s="209"/>
      <c r="S75" s="209"/>
      <c r="T75" s="209"/>
      <c r="U75" s="209"/>
      <c r="V75" s="209"/>
      <c r="W75" s="209"/>
      <c r="X75" s="209"/>
      <c r="Y75" s="209"/>
      <c r="AA75" s="210"/>
      <c r="AB75" s="211"/>
      <c r="AM75" s="167"/>
      <c r="AN75" s="158"/>
      <c r="AO75" s="158"/>
      <c r="AP75" s="158"/>
      <c r="AQ75" s="158"/>
      <c r="AR75" s="158"/>
      <c r="AS75" s="158"/>
      <c r="AT75" s="158"/>
      <c r="AU75" s="158"/>
      <c r="AV75" s="158"/>
      <c r="AW75" s="158"/>
    </row>
    <row r="76" spans="1:49" ht="14.25" hidden="1" x14ac:dyDescent="0.2">
      <c r="P76" s="209"/>
      <c r="Q76" s="209"/>
      <c r="R76" s="209"/>
      <c r="S76" s="209"/>
      <c r="T76" s="209"/>
      <c r="U76" s="209"/>
      <c r="V76" s="209"/>
      <c r="W76" s="209"/>
      <c r="X76" s="209"/>
      <c r="Y76" s="209"/>
      <c r="AB76" s="209"/>
      <c r="AC76" s="140"/>
      <c r="AD76" s="140"/>
      <c r="AE76" s="140"/>
      <c r="AF76" s="212"/>
      <c r="AG76" s="140"/>
      <c r="AH76" s="213"/>
      <c r="AM76" s="158"/>
      <c r="AN76" s="158"/>
      <c r="AO76" s="158"/>
      <c r="AP76" s="158"/>
      <c r="AQ76" s="158"/>
      <c r="AR76" s="158"/>
      <c r="AS76" s="158"/>
      <c r="AT76" s="158"/>
      <c r="AU76" s="158"/>
      <c r="AV76" s="158"/>
      <c r="AW76" s="158"/>
    </row>
    <row r="77" spans="1:49" ht="14.25" hidden="1" x14ac:dyDescent="0.2">
      <c r="P77" s="209"/>
      <c r="Q77" s="209"/>
      <c r="R77" s="209"/>
      <c r="S77" s="209"/>
      <c r="T77" s="209"/>
      <c r="U77" s="209"/>
      <c r="V77" s="209"/>
      <c r="W77" s="209"/>
      <c r="X77" s="209"/>
      <c r="Y77" s="209"/>
      <c r="AA77" s="210"/>
      <c r="AB77" s="211"/>
      <c r="AC77" s="214"/>
      <c r="AD77" s="214"/>
      <c r="AE77" s="215"/>
      <c r="AF77" s="216"/>
      <c r="AG77" s="217"/>
      <c r="AH77" s="218"/>
      <c r="AI77" s="213"/>
      <c r="AM77" s="167"/>
      <c r="AN77" s="158"/>
      <c r="AO77" s="158"/>
      <c r="AP77" s="158"/>
      <c r="AQ77" s="158"/>
      <c r="AR77" s="158"/>
      <c r="AS77" s="158"/>
      <c r="AT77" s="158"/>
      <c r="AU77" s="158"/>
      <c r="AV77" s="158"/>
      <c r="AW77" s="158"/>
    </row>
    <row r="78" spans="1:49" ht="14.25" hidden="1" x14ac:dyDescent="0.2">
      <c r="P78" s="209"/>
      <c r="Q78" s="209"/>
      <c r="R78" s="209"/>
      <c r="S78" s="209"/>
      <c r="T78" s="209"/>
      <c r="U78" s="209"/>
      <c r="V78" s="209"/>
      <c r="W78" s="209"/>
      <c r="X78" s="209"/>
      <c r="Y78" s="209"/>
      <c r="AA78" s="210"/>
      <c r="AB78" s="219"/>
    </row>
    <row r="79" spans="1:49" ht="14.25" hidden="1" x14ac:dyDescent="0.2">
      <c r="P79" s="209"/>
      <c r="Q79" s="209"/>
      <c r="R79" s="209"/>
      <c r="S79" s="209"/>
      <c r="T79" s="209"/>
      <c r="U79" s="209"/>
      <c r="V79" s="209"/>
      <c r="W79" s="209"/>
      <c r="X79" s="209"/>
      <c r="Y79" s="209"/>
      <c r="AA79" s="210"/>
      <c r="AB79" s="209"/>
      <c r="AD79" s="220"/>
    </row>
    <row r="80" spans="1:49" ht="14.25" hidden="1" x14ac:dyDescent="0.2">
      <c r="P80" s="209"/>
      <c r="Q80" s="209"/>
      <c r="R80" s="209"/>
      <c r="S80" s="209"/>
      <c r="T80" s="209"/>
      <c r="U80" s="209"/>
      <c r="V80" s="209"/>
      <c r="W80" s="209"/>
      <c r="X80" s="209"/>
      <c r="Y80" s="209"/>
      <c r="AB80" s="209"/>
    </row>
    <row r="81" spans="16:36" ht="14.25" hidden="1" x14ac:dyDescent="0.2">
      <c r="P81" s="209"/>
      <c r="Q81" s="209"/>
      <c r="R81" s="209"/>
      <c r="S81" s="209"/>
      <c r="T81" s="209"/>
      <c r="U81" s="209"/>
      <c r="V81" s="209"/>
      <c r="W81" s="209"/>
      <c r="X81" s="209"/>
      <c r="Y81" s="209"/>
      <c r="AA81" s="210"/>
      <c r="AB81" s="209"/>
      <c r="AE81" s="220"/>
    </row>
    <row r="82" spans="16:36" ht="14.25" hidden="1" x14ac:dyDescent="0.2">
      <c r="P82" s="209"/>
      <c r="Q82" s="209"/>
      <c r="R82" s="209"/>
      <c r="S82" s="209"/>
      <c r="T82" s="209"/>
      <c r="U82" s="209"/>
      <c r="V82" s="209"/>
      <c r="W82" s="209"/>
      <c r="X82" s="209"/>
      <c r="Y82" s="209"/>
      <c r="AA82" s="210"/>
      <c r="AB82" s="209"/>
    </row>
    <row r="83" spans="16:36" ht="14.25" hidden="1" x14ac:dyDescent="0.2">
      <c r="P83" s="209"/>
      <c r="Q83" s="209"/>
      <c r="R83" s="209"/>
      <c r="S83" s="209"/>
      <c r="T83" s="209"/>
      <c r="U83" s="209"/>
      <c r="V83" s="209"/>
      <c r="W83" s="209"/>
      <c r="X83" s="209"/>
      <c r="Y83" s="209"/>
      <c r="AG83" s="213"/>
      <c r="AH83" s="213"/>
    </row>
    <row r="84" spans="16:36" ht="14.25" hidden="1" x14ac:dyDescent="0.2">
      <c r="P84" s="209"/>
      <c r="Q84" s="209"/>
      <c r="R84" s="209"/>
      <c r="S84" s="209"/>
      <c r="T84" s="209"/>
      <c r="U84" s="209"/>
      <c r="V84" s="209"/>
      <c r="W84" s="209"/>
      <c r="X84" s="209"/>
      <c r="Y84" s="209"/>
      <c r="AG84" s="213"/>
      <c r="AH84" s="213"/>
      <c r="AJ84" s="221"/>
    </row>
    <row r="85" spans="16:36" ht="14.25" hidden="1" x14ac:dyDescent="0.2">
      <c r="P85" s="209"/>
      <c r="Q85" s="209"/>
      <c r="R85" s="209"/>
      <c r="S85" s="209"/>
      <c r="T85" s="209"/>
      <c r="U85" s="209"/>
      <c r="V85" s="209"/>
      <c r="W85" s="209"/>
      <c r="X85" s="209"/>
      <c r="Y85" s="209"/>
      <c r="AG85" s="213"/>
    </row>
    <row r="86" spans="16:36" ht="14.25" hidden="1" x14ac:dyDescent="0.2">
      <c r="P86" s="209"/>
      <c r="Q86" s="209"/>
      <c r="R86" s="209"/>
      <c r="S86" s="209"/>
      <c r="T86" s="209"/>
      <c r="U86" s="209"/>
      <c r="V86" s="209"/>
      <c r="W86" s="209"/>
      <c r="X86" s="209"/>
      <c r="Y86" s="209"/>
      <c r="AA86" s="213"/>
      <c r="AB86" s="213"/>
      <c r="AC86" s="213"/>
      <c r="AD86" s="213"/>
      <c r="AE86" s="140"/>
    </row>
    <row r="87" spans="16:36" ht="14.25" hidden="1" x14ac:dyDescent="0.2">
      <c r="P87" s="209"/>
      <c r="Q87" s="209"/>
      <c r="R87" s="209"/>
      <c r="S87" s="209"/>
      <c r="T87" s="209"/>
      <c r="U87" s="209"/>
      <c r="V87" s="209"/>
      <c r="W87" s="209"/>
      <c r="X87" s="209"/>
      <c r="Y87" s="209"/>
      <c r="AA87" s="213"/>
      <c r="AB87" s="213"/>
      <c r="AC87" s="213"/>
      <c r="AD87" s="213"/>
      <c r="AE87" s="214"/>
      <c r="AH87" s="222"/>
      <c r="AI87" s="223"/>
      <c r="AJ87" s="223"/>
    </row>
    <row r="88" spans="16:36" ht="14.25" hidden="1" x14ac:dyDescent="0.2">
      <c r="P88" s="209"/>
      <c r="Q88" s="209"/>
      <c r="R88" s="209"/>
      <c r="S88" s="209"/>
      <c r="T88" s="209"/>
      <c r="U88" s="209"/>
      <c r="V88" s="209"/>
      <c r="W88" s="209"/>
      <c r="X88" s="209"/>
      <c r="Y88" s="209"/>
      <c r="AF88" s="224"/>
      <c r="AH88" s="222"/>
      <c r="AI88" s="223"/>
      <c r="AJ88" s="223"/>
    </row>
    <row r="89" spans="16:36" ht="14.25" hidden="1" x14ac:dyDescent="0.2">
      <c r="P89" s="209"/>
      <c r="Q89" s="209"/>
      <c r="R89" s="209"/>
      <c r="S89" s="209"/>
      <c r="T89" s="209"/>
      <c r="U89" s="209"/>
      <c r="V89" s="209"/>
      <c r="W89" s="209"/>
      <c r="X89" s="209"/>
      <c r="Y89" s="209"/>
      <c r="AA89" s="213"/>
      <c r="AB89" s="213"/>
      <c r="AC89" s="213"/>
      <c r="AD89" s="213"/>
      <c r="AE89" s="213"/>
      <c r="AF89" s="224"/>
      <c r="AH89" s="222"/>
      <c r="AI89" s="223"/>
      <c r="AJ89" s="223"/>
    </row>
    <row r="90" spans="16:36" ht="14.25" hidden="1" x14ac:dyDescent="0.2">
      <c r="P90" s="209"/>
      <c r="Q90" s="209"/>
      <c r="R90" s="209"/>
      <c r="S90" s="209"/>
      <c r="T90" s="209"/>
      <c r="U90" s="209"/>
      <c r="V90" s="209"/>
      <c r="W90" s="209"/>
      <c r="X90" s="209"/>
      <c r="Y90" s="209"/>
      <c r="AA90" s="213"/>
      <c r="AB90" s="213"/>
      <c r="AC90" s="213"/>
      <c r="AD90" s="213"/>
      <c r="AE90" s="214"/>
      <c r="AF90" s="224"/>
      <c r="AH90" s="222"/>
      <c r="AI90" s="223"/>
      <c r="AJ90" s="223"/>
    </row>
    <row r="91" spans="16:36" ht="14.25" hidden="1" x14ac:dyDescent="0.2">
      <c r="P91" s="209"/>
      <c r="Q91" s="209"/>
      <c r="R91" s="209"/>
      <c r="S91" s="209"/>
      <c r="T91" s="209"/>
      <c r="U91" s="209"/>
      <c r="V91" s="209"/>
      <c r="W91" s="209"/>
      <c r="X91" s="209"/>
      <c r="Y91" s="209"/>
      <c r="AA91" s="224"/>
      <c r="AB91" s="224"/>
      <c r="AC91" s="224"/>
      <c r="AD91" s="224"/>
      <c r="AE91" s="224"/>
      <c r="AF91" s="224"/>
      <c r="AH91" s="222"/>
      <c r="AI91" s="223"/>
      <c r="AJ91" s="223"/>
    </row>
    <row r="92" spans="16:36" ht="14.25" hidden="1" x14ac:dyDescent="0.2">
      <c r="P92" s="209"/>
      <c r="Q92" s="209"/>
      <c r="R92" s="209"/>
      <c r="S92" s="209"/>
      <c r="T92" s="209"/>
      <c r="U92" s="209"/>
      <c r="V92" s="209"/>
      <c r="W92" s="209"/>
      <c r="X92" s="209"/>
      <c r="Y92" s="209"/>
      <c r="AE92" s="224"/>
      <c r="AF92" s="224"/>
      <c r="AG92" s="225"/>
      <c r="AH92" s="222"/>
      <c r="AI92" s="223"/>
      <c r="AJ92" s="223"/>
    </row>
    <row r="93" spans="16:36" ht="14.25" hidden="1" x14ac:dyDescent="0.2">
      <c r="P93" s="209"/>
      <c r="Q93" s="209"/>
      <c r="R93" s="209"/>
      <c r="S93" s="209"/>
      <c r="T93" s="209"/>
      <c r="U93" s="209"/>
      <c r="V93" s="209"/>
      <c r="W93" s="209"/>
      <c r="X93" s="209"/>
      <c r="Y93" s="209"/>
      <c r="AA93" s="226"/>
      <c r="AB93" s="224"/>
      <c r="AC93" s="224"/>
      <c r="AD93" s="224"/>
      <c r="AE93" s="224"/>
      <c r="AF93" s="224"/>
      <c r="AG93" s="225"/>
      <c r="AH93" s="222"/>
      <c r="AI93" s="223"/>
      <c r="AJ93" s="223"/>
    </row>
    <row r="94" spans="16:36" ht="14.25" hidden="1" x14ac:dyDescent="0.2">
      <c r="P94" s="209"/>
      <c r="Q94" s="209"/>
      <c r="R94" s="209"/>
      <c r="S94" s="209"/>
      <c r="T94" s="209"/>
      <c r="U94" s="209"/>
      <c r="V94" s="209"/>
      <c r="W94" s="209"/>
      <c r="X94" s="209"/>
      <c r="Y94" s="209"/>
      <c r="AA94" s="226"/>
      <c r="AB94" s="224"/>
      <c r="AC94" s="224"/>
      <c r="AD94" s="224"/>
      <c r="AE94" s="224"/>
      <c r="AF94" s="224"/>
      <c r="AG94" s="225"/>
      <c r="AH94" s="222"/>
      <c r="AI94" s="223"/>
      <c r="AJ94" s="223"/>
    </row>
    <row r="95" spans="16:36" ht="14.25" hidden="1" x14ac:dyDescent="0.2">
      <c r="P95" s="209"/>
      <c r="Q95" s="209"/>
      <c r="R95" s="209"/>
      <c r="S95" s="209"/>
      <c r="T95" s="209"/>
      <c r="U95" s="209"/>
      <c r="V95" s="209"/>
      <c r="W95" s="209"/>
      <c r="X95" s="209"/>
      <c r="Y95" s="209"/>
      <c r="AA95" s="211"/>
      <c r="AB95" s="224"/>
      <c r="AC95" s="224"/>
      <c r="AD95" s="227"/>
      <c r="AE95" s="209"/>
      <c r="AF95" s="227"/>
      <c r="AG95" s="225"/>
      <c r="AH95" s="222"/>
      <c r="AI95" s="223"/>
      <c r="AJ95" s="223"/>
    </row>
    <row r="96" spans="16:36" ht="14.25" hidden="1" x14ac:dyDescent="0.2">
      <c r="P96" s="209"/>
      <c r="Q96" s="209"/>
      <c r="R96" s="209"/>
      <c r="S96" s="209"/>
      <c r="T96" s="209"/>
      <c r="U96" s="209"/>
      <c r="V96" s="209"/>
      <c r="W96" s="209"/>
      <c r="X96" s="209"/>
      <c r="Y96" s="209"/>
      <c r="AA96" s="209"/>
      <c r="AC96" s="224"/>
      <c r="AD96" s="228"/>
      <c r="AE96" s="209"/>
      <c r="AF96" s="228"/>
      <c r="AG96" s="225"/>
      <c r="AH96" s="222"/>
      <c r="AI96" s="223"/>
      <c r="AJ96" s="223"/>
    </row>
    <row r="97" spans="14:36" ht="14.25" hidden="1" x14ac:dyDescent="0.2">
      <c r="P97" s="209"/>
      <c r="Q97" s="209"/>
      <c r="R97" s="209"/>
      <c r="S97" s="209"/>
      <c r="T97" s="209"/>
      <c r="U97" s="209"/>
      <c r="V97" s="209"/>
      <c r="W97" s="209"/>
      <c r="X97" s="209"/>
      <c r="Y97" s="209"/>
      <c r="AA97" s="209"/>
      <c r="AB97" s="224"/>
      <c r="AC97" s="224"/>
      <c r="AD97" s="227"/>
      <c r="AE97" s="209"/>
      <c r="AF97" s="227"/>
      <c r="AG97" s="225"/>
      <c r="AH97" s="222"/>
      <c r="AI97" s="223"/>
      <c r="AJ97" s="223"/>
    </row>
    <row r="98" spans="14:36" ht="14.25" hidden="1" x14ac:dyDescent="0.2">
      <c r="P98" s="209"/>
      <c r="Q98" s="209"/>
      <c r="R98" s="209"/>
      <c r="S98" s="209"/>
      <c r="T98" s="209"/>
      <c r="U98" s="209"/>
      <c r="V98" s="209"/>
      <c r="W98" s="209"/>
      <c r="X98" s="209"/>
      <c r="Y98" s="209"/>
      <c r="AA98" s="209"/>
      <c r="AB98" s="224"/>
      <c r="AC98" s="224"/>
      <c r="AD98" s="228"/>
      <c r="AE98" s="227"/>
      <c r="AF98" s="228"/>
      <c r="AG98" s="225"/>
      <c r="AH98" s="222"/>
      <c r="AI98" s="223"/>
      <c r="AJ98" s="223"/>
    </row>
    <row r="99" spans="14:36" ht="14.25" hidden="1" x14ac:dyDescent="0.2">
      <c r="P99" s="209"/>
      <c r="Q99" s="209"/>
      <c r="R99" s="209"/>
      <c r="S99" s="209"/>
      <c r="T99" s="209"/>
      <c r="U99" s="209"/>
      <c r="V99" s="209"/>
      <c r="W99" s="209"/>
      <c r="X99" s="209"/>
      <c r="Y99" s="209"/>
      <c r="AA99" s="209"/>
      <c r="AB99" s="224"/>
      <c r="AC99" s="224"/>
      <c r="AD99" s="227"/>
      <c r="AE99" s="227"/>
      <c r="AF99" s="227"/>
      <c r="AG99" s="225"/>
      <c r="AH99" s="222"/>
      <c r="AI99" s="223"/>
      <c r="AJ99" s="223"/>
    </row>
    <row r="100" spans="14:36" ht="14.25" hidden="1" x14ac:dyDescent="0.2">
      <c r="P100" s="209"/>
      <c r="Q100" s="209"/>
      <c r="R100" s="209"/>
      <c r="S100" s="209"/>
      <c r="T100" s="209"/>
      <c r="U100" s="209"/>
      <c r="V100" s="209"/>
      <c r="W100" s="209"/>
      <c r="X100" s="209"/>
      <c r="Y100" s="209"/>
      <c r="AA100" s="224"/>
      <c r="AB100" s="224"/>
      <c r="AC100" s="224"/>
      <c r="AD100" s="224"/>
      <c r="AE100" s="224"/>
      <c r="AF100" s="224"/>
      <c r="AG100" s="225"/>
      <c r="AH100" s="225"/>
      <c r="AI100" s="225"/>
      <c r="AJ100" s="207"/>
    </row>
    <row r="101" spans="14:36" ht="14.25" hidden="1" x14ac:dyDescent="0.2">
      <c r="P101" s="209"/>
      <c r="Q101" s="209"/>
      <c r="R101" s="209"/>
      <c r="S101" s="209"/>
      <c r="T101" s="209"/>
      <c r="U101" s="209"/>
      <c r="V101" s="209"/>
      <c r="W101" s="209"/>
      <c r="X101" s="209"/>
      <c r="Y101" s="209"/>
      <c r="AA101" s="224"/>
      <c r="AB101" s="209"/>
      <c r="AC101" s="209"/>
      <c r="AD101" s="203"/>
      <c r="AE101" s="203"/>
      <c r="AF101" s="203"/>
      <c r="AG101" s="225"/>
      <c r="AH101" s="225"/>
      <c r="AI101" s="225"/>
      <c r="AJ101" s="207"/>
    </row>
    <row r="102" spans="14:36" ht="14.25" hidden="1" x14ac:dyDescent="0.2">
      <c r="P102" s="209"/>
      <c r="Q102" s="209"/>
      <c r="R102" s="209"/>
      <c r="S102" s="209"/>
      <c r="T102" s="209"/>
      <c r="U102" s="209"/>
      <c r="V102" s="209"/>
      <c r="W102" s="209"/>
      <c r="X102" s="209"/>
      <c r="Y102" s="209"/>
      <c r="AA102" s="224"/>
      <c r="AB102" s="224"/>
      <c r="AC102" s="224"/>
      <c r="AD102" s="224"/>
      <c r="AE102" s="224"/>
      <c r="AF102" s="224"/>
      <c r="AG102" s="225"/>
      <c r="AH102" s="225"/>
      <c r="AI102" s="225"/>
      <c r="AJ102" s="207"/>
    </row>
    <row r="103" spans="14:36" ht="14.25" hidden="1" x14ac:dyDescent="0.2">
      <c r="P103" s="209"/>
      <c r="Q103" s="209"/>
      <c r="R103" s="209"/>
      <c r="S103" s="209"/>
      <c r="T103" s="209"/>
      <c r="U103" s="209"/>
      <c r="V103" s="209"/>
      <c r="W103" s="209"/>
      <c r="X103" s="209"/>
      <c r="Y103" s="209"/>
      <c r="AA103" s="224"/>
      <c r="AB103" s="224"/>
      <c r="AC103" s="224"/>
      <c r="AD103" s="224"/>
      <c r="AE103" s="224"/>
      <c r="AF103" s="224"/>
      <c r="AG103" s="225"/>
      <c r="AH103" s="225"/>
      <c r="AI103" s="225"/>
      <c r="AJ103" s="207"/>
    </row>
    <row r="104" spans="14:36" ht="14.25" hidden="1" x14ac:dyDescent="0.2">
      <c r="P104" s="209"/>
      <c r="Q104" s="209"/>
      <c r="R104" s="209"/>
      <c r="S104" s="209"/>
      <c r="T104" s="209"/>
      <c r="U104" s="209"/>
      <c r="V104" s="209"/>
      <c r="W104" s="209"/>
      <c r="X104" s="209"/>
      <c r="Y104" s="209"/>
      <c r="AC104" s="224"/>
      <c r="AD104" s="224"/>
      <c r="AE104" s="224"/>
      <c r="AF104" s="224"/>
      <c r="AG104" s="225"/>
      <c r="AH104" s="225"/>
      <c r="AI104" s="225"/>
      <c r="AJ104" s="207"/>
    </row>
    <row r="105" spans="14:36" ht="14.25" hidden="1" x14ac:dyDescent="0.2">
      <c r="P105" s="209"/>
      <c r="Q105" s="209"/>
      <c r="R105" s="209"/>
      <c r="S105" s="209"/>
      <c r="T105" s="209"/>
      <c r="U105" s="209"/>
      <c r="V105" s="209"/>
      <c r="W105" s="209"/>
      <c r="X105" s="209"/>
      <c r="Y105" s="209"/>
      <c r="AA105" s="224"/>
      <c r="AB105" s="224"/>
      <c r="AC105" s="224"/>
      <c r="AD105" s="224"/>
      <c r="AE105" s="224"/>
      <c r="AF105" s="224"/>
      <c r="AG105" s="225"/>
      <c r="AH105" s="225"/>
      <c r="AI105" s="225"/>
      <c r="AJ105" s="207"/>
    </row>
    <row r="106" spans="14:36" ht="14.25" hidden="1" x14ac:dyDescent="0.2">
      <c r="N106" s="210"/>
      <c r="O106" s="209"/>
      <c r="P106" s="209"/>
      <c r="Q106" s="209"/>
      <c r="R106" s="209"/>
      <c r="S106" s="209"/>
      <c r="T106" s="209"/>
      <c r="U106" s="209"/>
      <c r="V106" s="209"/>
      <c r="W106" s="209"/>
      <c r="X106" s="209"/>
      <c r="Y106" s="209"/>
      <c r="AA106" s="224"/>
      <c r="AB106" s="224"/>
      <c r="AC106" s="224"/>
      <c r="AD106" s="224"/>
      <c r="AE106" s="224"/>
      <c r="AF106" s="224"/>
      <c r="AG106" s="225"/>
      <c r="AH106" s="225"/>
      <c r="AI106" s="225"/>
      <c r="AJ106" s="207"/>
    </row>
    <row r="107" spans="14:36" ht="14.25" hidden="1" x14ac:dyDescent="0.2">
      <c r="N107" s="209"/>
      <c r="O107" s="209"/>
      <c r="P107" s="209"/>
      <c r="Q107" s="209"/>
      <c r="R107" s="209"/>
      <c r="S107" s="209"/>
      <c r="T107" s="209"/>
      <c r="U107" s="209"/>
      <c r="V107" s="209"/>
      <c r="W107" s="209"/>
      <c r="X107" s="209"/>
      <c r="Y107" s="209"/>
      <c r="Z107" s="209"/>
      <c r="AA107" s="209"/>
      <c r="AB107" s="209"/>
      <c r="AC107" s="209"/>
      <c r="AD107" s="209"/>
      <c r="AE107" s="209"/>
    </row>
    <row r="108" spans="14:36" ht="14.25" hidden="1" x14ac:dyDescent="0.2">
      <c r="N108" s="210"/>
      <c r="O108" s="209"/>
      <c r="P108" s="209"/>
      <c r="Q108" s="209"/>
      <c r="R108" s="209"/>
      <c r="S108" s="209"/>
      <c r="T108" s="209"/>
      <c r="U108" s="209"/>
      <c r="V108" s="209"/>
      <c r="W108" s="209"/>
      <c r="X108" s="209"/>
      <c r="Y108" s="209"/>
      <c r="Z108" s="209"/>
      <c r="AA108" s="209"/>
      <c r="AB108" s="209"/>
      <c r="AC108" s="209"/>
      <c r="AD108" s="209"/>
      <c r="AE108" s="209"/>
    </row>
    <row r="109" spans="14:36" ht="14.25" hidden="1" x14ac:dyDescent="0.2">
      <c r="N109" s="210"/>
      <c r="O109" s="209"/>
      <c r="P109" s="209"/>
      <c r="Q109" s="209"/>
      <c r="R109" s="209"/>
      <c r="S109" s="209"/>
      <c r="T109" s="209"/>
      <c r="U109" s="209"/>
      <c r="V109" s="209"/>
      <c r="W109" s="209"/>
      <c r="X109" s="209"/>
      <c r="Y109" s="209"/>
    </row>
    <row r="110" spans="14:36" ht="14.25" hidden="1" x14ac:dyDescent="0.2">
      <c r="N110" s="210"/>
      <c r="O110" s="209"/>
      <c r="P110" s="209"/>
      <c r="Q110" s="209"/>
      <c r="R110" s="209"/>
      <c r="S110" s="209"/>
      <c r="T110" s="209"/>
      <c r="U110" s="209"/>
      <c r="V110" s="209"/>
      <c r="W110" s="209"/>
      <c r="X110" s="209"/>
      <c r="Y110" s="209"/>
    </row>
    <row r="111" spans="14:36" ht="14.25" hidden="1" x14ac:dyDescent="0.2">
      <c r="N111" s="209"/>
      <c r="O111" s="209"/>
      <c r="P111" s="209"/>
      <c r="Q111" s="209"/>
      <c r="R111" s="209"/>
      <c r="S111" s="209"/>
      <c r="T111" s="209"/>
      <c r="U111" s="209"/>
      <c r="V111" s="209"/>
      <c r="W111" s="209"/>
      <c r="X111" s="209"/>
      <c r="Y111" s="209"/>
    </row>
    <row r="112" spans="14:36" ht="14.25" hidden="1" x14ac:dyDescent="0.2">
      <c r="N112" s="210"/>
      <c r="O112" s="209"/>
      <c r="P112" s="209"/>
      <c r="Q112" s="209"/>
      <c r="R112" s="209"/>
      <c r="S112" s="209"/>
      <c r="T112" s="209"/>
      <c r="U112" s="209"/>
      <c r="V112" s="209"/>
      <c r="W112" s="209"/>
      <c r="X112" s="209"/>
      <c r="Y112" s="209"/>
    </row>
    <row r="113" spans="14:25" ht="14.25" hidden="1" x14ac:dyDescent="0.2">
      <c r="N113" s="209"/>
      <c r="O113" s="209"/>
      <c r="P113" s="209"/>
      <c r="Q113" s="209"/>
      <c r="R113" s="209"/>
      <c r="S113" s="209"/>
      <c r="T113" s="209"/>
      <c r="U113" s="209"/>
      <c r="V113" s="209"/>
      <c r="W113" s="209"/>
      <c r="X113" s="209"/>
      <c r="Y113" s="209"/>
    </row>
    <row r="114" spans="14:25" ht="14.25" hidden="1" x14ac:dyDescent="0.2">
      <c r="N114" s="210"/>
      <c r="O114" s="209"/>
      <c r="P114" s="209"/>
      <c r="Q114" s="209"/>
      <c r="R114" s="209"/>
      <c r="S114" s="209"/>
      <c r="T114" s="209"/>
      <c r="U114" s="209"/>
      <c r="V114" s="209"/>
      <c r="W114" s="209"/>
      <c r="X114" s="209"/>
      <c r="Y114" s="209"/>
    </row>
    <row r="115" spans="14:25" ht="14.25" hidden="1" x14ac:dyDescent="0.2">
      <c r="O115" s="209"/>
    </row>
    <row r="116" spans="14:25" hidden="1" x14ac:dyDescent="0.2"/>
  </sheetData>
  <dataValidations count="1">
    <dataValidation type="custom" showInputMessage="1" showErrorMessage="1" errorTitle="Data protection:" error="The data present in this sheet are protected in order to prevent unintentional changes in the source data which may corrupt the calculations." sqref="A1:AL70">
      <formula1>0</formula1>
    </dataValidation>
  </dataValidations>
  <pageMargins left="0.35433070866141736" right="0.35433070866141736" top="0.19685039370078741" bottom="0.19685039370078741" header="0.51181102362204722" footer="0.51181102362204722"/>
  <pageSetup paperSize="9" scale="60" fitToWidth="2"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2039ADD5E94A4BB0B15B5FB7ADAC87" ma:contentTypeVersion="6" ma:contentTypeDescription="Create a new document." ma:contentTypeScope="" ma:versionID="01b5e44866dc18d9b3fd6fcd47944d7a">
  <xsd:schema xmlns:xsd="http://www.w3.org/2001/XMLSchema" xmlns:xs="http://www.w3.org/2001/XMLSchema" xmlns:p="http://schemas.microsoft.com/office/2006/metadata/properties" xmlns:ns2="38e5a78e-e4a4-43bc-8811-d13ed7ad4f63" targetNamespace="http://schemas.microsoft.com/office/2006/metadata/properties" ma:root="true" ma:fieldsID="37d27698a04567d5c54218fea1b8dd69" ns2:_="">
    <xsd:import namespace="38e5a78e-e4a4-43bc-8811-d13ed7ad4f6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5a78e-e4a4-43bc-8811-d13ed7ad4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077E4D-2FDE-4F0D-9009-D5CF8B370FB6}"/>
</file>

<file path=customXml/itemProps2.xml><?xml version="1.0" encoding="utf-8"?>
<ds:datastoreItem xmlns:ds="http://schemas.openxmlformats.org/officeDocument/2006/customXml" ds:itemID="{A67E597A-29A4-4C66-8BE9-3BF7A05B9A93}"/>
</file>

<file path=customXml/itemProps3.xml><?xml version="1.0" encoding="utf-8"?>
<ds:datastoreItem xmlns:ds="http://schemas.openxmlformats.org/officeDocument/2006/customXml" ds:itemID="{5741DA31-3AA2-4D39-8D98-ACF1DE6C8AB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15</vt:i4>
      </vt:variant>
    </vt:vector>
  </HeadingPairs>
  <TitlesOfParts>
    <vt:vector size="25" baseType="lpstr">
      <vt:lpstr>Toelichting</vt:lpstr>
      <vt:lpstr>Scenario's</vt:lpstr>
      <vt:lpstr>Life cycle costing</vt:lpstr>
      <vt:lpstr>Estimation formulae</vt:lpstr>
      <vt:lpstr>Referenties</vt:lpstr>
      <vt:lpstr>NDT Effectiviteit</vt:lpstr>
      <vt:lpstr>Scheidingsblad</vt:lpstr>
      <vt:lpstr>Input and Output</vt:lpstr>
      <vt:lpstr>Source INSU 2002</vt:lpstr>
      <vt:lpstr>Source SCAFF 2004</vt:lpstr>
      <vt:lpstr>Accessitibility</vt:lpstr>
      <vt:lpstr>ColdIsolCosts</vt:lpstr>
      <vt:lpstr>HotIsolCosts</vt:lpstr>
      <vt:lpstr>NDT_Kosten</vt:lpstr>
      <vt:lpstr>NDT_Technieken</vt:lpstr>
      <vt:lpstr>NDTEff</vt:lpstr>
      <vt:lpstr>NDTEffRatings</vt:lpstr>
      <vt:lpstr>'Source SCAFF 2004'!Print_Area</vt:lpstr>
      <vt:lpstr>Toelichting!Print_Area</vt:lpstr>
      <vt:lpstr>RemLifeTimDef</vt:lpstr>
      <vt:lpstr>RemYrsOfUse</vt:lpstr>
      <vt:lpstr>ScrInspIntDef</vt:lpstr>
      <vt:lpstr>Sensitivity</vt:lpstr>
      <vt:lpstr>Typicals</vt:lpstr>
      <vt:lpstr>VisInspIntDef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Kosten analyse onderhoudsscenario's</dc:title>
  <dc:creator>Casper Wassink</dc:creator>
  <cp:keywords>Revisie dd 15Okt19</cp:keywords>
  <cp:lastModifiedBy>Geert Henk Wijnants</cp:lastModifiedBy>
  <dcterms:created xsi:type="dcterms:W3CDTF">2019-05-13T09:06:17Z</dcterms:created>
  <dcterms:modified xsi:type="dcterms:W3CDTF">2021-06-02T08:58:13Z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0x0101001F2039ADD5E94A4BB0B15B5FB7ADAC87</vt:lpwstr>
  </property>
</Properties>
</file>